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owa1.sharepoint.com/sites/CommunityDevelopment/Shared Documents/Disaster Recovery/Disaster - NDRC/Quarterly Expenditures/"/>
    </mc:Choice>
  </mc:AlternateContent>
  <xr:revisionPtr revIDLastSave="4537" documentId="8_{EBE950DD-99F4-41BC-B6F2-D82D2882A988}" xr6:coauthVersionLast="47" xr6:coauthVersionMax="47" xr10:uidLastSave="{FCA6EA96-397A-4DD0-B3DA-9A5177C6072B}"/>
  <bookViews>
    <workbookView xWindow="28680" yWindow="-120" windowWidth="29040" windowHeight="15720" tabRatio="815" firstSheet="2" activeTab="14" xr2:uid="{A426B889-2FD7-4759-B1BB-17D29877C847}"/>
  </bookViews>
  <sheets>
    <sheet name="Performance Proj" sheetId="23" r:id="rId1"/>
    <sheet name="Financial Proj" sheetId="22" r:id="rId2"/>
    <sheet name="Quarterly Projections" sheetId="20" r:id="rId3"/>
    <sheet name="Actual Totals" sheetId="21" r:id="rId4"/>
    <sheet name="Dubuque Housing" sheetId="4" r:id="rId5"/>
    <sheet name="Benton" sheetId="33" r:id="rId6"/>
    <sheet name="Buena Vista" sheetId="26" r:id="rId7"/>
    <sheet name="Fremont" sheetId="27" r:id="rId8"/>
    <sheet name="Howard" sheetId="28" r:id="rId9"/>
    <sheet name="Iowa" sheetId="29" r:id="rId10"/>
    <sheet name="Johnson" sheetId="30" r:id="rId11"/>
    <sheet name="Mills" sheetId="31" r:id="rId12"/>
    <sheet name="Winneshiek" sheetId="32" r:id="rId13"/>
    <sheet name="Coralville Infra" sheetId="34" r:id="rId14"/>
    <sheet name="Dubuque Infra" sheetId="5" r:id="rId15"/>
    <sheet name="Storm Lake" sheetId="15" r:id="rId16"/>
    <sheet name="HSEMD" sheetId="8" r:id="rId17"/>
    <sheet name="Univ of Iowa" sheetId="17" r:id="rId18"/>
    <sheet name="Iowa DNR" sheetId="10" r:id="rId19"/>
    <sheet name="Univ of N Iowa" sheetId="18" r:id="rId20"/>
    <sheet name="Iowa State Univ" sheetId="9" r:id="rId21"/>
    <sheet name="IDALS" sheetId="3" r:id="rId22"/>
  </sheets>
  <definedNames>
    <definedName name="_xlnm.Print_Area" localSheetId="4">'Dubuque Housing'!#REF!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28" i="4" l="1"/>
  <c r="L28" i="4"/>
  <c r="H29" i="4"/>
  <c r="H28" i="4"/>
  <c r="B116" i="22"/>
  <c r="C116" i="22" s="1"/>
  <c r="F116" i="22" s="1"/>
  <c r="F86" i="22"/>
  <c r="M29" i="15"/>
  <c r="L30" i="15"/>
  <c r="I29" i="15"/>
  <c r="H29" i="15"/>
  <c r="G30" i="15"/>
  <c r="I30" i="15"/>
  <c r="L30" i="8"/>
  <c r="L29" i="8"/>
  <c r="R29" i="15"/>
  <c r="R28" i="15"/>
  <c r="S29" i="15"/>
  <c r="Q31" i="27"/>
  <c r="T31" i="27"/>
  <c r="K29" i="30"/>
  <c r="H30" i="8"/>
  <c r="H29" i="8"/>
  <c r="H30" i="9"/>
  <c r="H29" i="9"/>
  <c r="G29" i="9"/>
  <c r="H30" i="18"/>
  <c r="H29" i="18"/>
  <c r="G29" i="18"/>
  <c r="H30" i="10"/>
  <c r="H29" i="10"/>
  <c r="H30" i="17"/>
  <c r="H29" i="17"/>
  <c r="L30" i="32"/>
  <c r="L31" i="32"/>
  <c r="G28" i="17"/>
  <c r="E29" i="20"/>
  <c r="B29" i="20"/>
  <c r="B29" i="21"/>
  <c r="G28" i="9"/>
  <c r="G28" i="18"/>
  <c r="S28" i="31"/>
  <c r="T28" i="31"/>
  <c r="T30" i="31" s="1"/>
  <c r="P30" i="31"/>
  <c r="P28" i="31"/>
  <c r="K28" i="31"/>
  <c r="L28" i="31" s="1"/>
  <c r="L30" i="31" s="1"/>
  <c r="T29" i="29"/>
  <c r="S29" i="29"/>
  <c r="L31" i="29"/>
  <c r="L29" i="29"/>
  <c r="T31" i="28"/>
  <c r="T29" i="28"/>
  <c r="P31" i="28"/>
  <c r="P29" i="28"/>
  <c r="L31" i="28"/>
  <c r="L29" i="28"/>
  <c r="U28" i="33"/>
  <c r="T28" i="33"/>
  <c r="Q30" i="33"/>
  <c r="T30" i="33" s="1"/>
  <c r="S28" i="33"/>
  <c r="P30" i="33"/>
  <c r="L30" i="33"/>
  <c r="P28" i="33"/>
  <c r="L28" i="33"/>
  <c r="H30" i="33"/>
  <c r="H28" i="33"/>
  <c r="I29" i="17"/>
  <c r="M29" i="8"/>
  <c r="S28" i="15"/>
  <c r="Q30" i="15"/>
  <c r="P28" i="15"/>
  <c r="O30" i="15"/>
  <c r="M28" i="15"/>
  <c r="H28" i="15"/>
  <c r="G30" i="5"/>
  <c r="L30" i="23"/>
  <c r="L31" i="23"/>
  <c r="L32" i="23"/>
  <c r="L33" i="23"/>
  <c r="L34" i="23"/>
  <c r="L35" i="23"/>
  <c r="L36" i="23"/>
  <c r="L37" i="23"/>
  <c r="L38" i="23"/>
  <c r="L39" i="23"/>
  <c r="L40" i="23"/>
  <c r="L41" i="23"/>
  <c r="L42" i="23"/>
  <c r="L43" i="23"/>
  <c r="L44" i="23"/>
  <c r="L45" i="23"/>
  <c r="L46" i="23"/>
  <c r="L47" i="23"/>
  <c r="L48" i="23"/>
  <c r="L49" i="23"/>
  <c r="L50" i="23"/>
  <c r="L51" i="23"/>
  <c r="L52" i="23"/>
  <c r="L53" i="23"/>
  <c r="L54" i="23"/>
  <c r="L29" i="23"/>
  <c r="K30" i="23"/>
  <c r="K31" i="23"/>
  <c r="K32" i="23"/>
  <c r="K33" i="23"/>
  <c r="K34" i="23"/>
  <c r="K35" i="23"/>
  <c r="K36" i="23"/>
  <c r="K37" i="23"/>
  <c r="K38" i="23"/>
  <c r="K39" i="23"/>
  <c r="K40" i="23"/>
  <c r="K41" i="23"/>
  <c r="K42" i="23"/>
  <c r="K43" i="23"/>
  <c r="K44" i="23"/>
  <c r="K45" i="23"/>
  <c r="K46" i="23"/>
  <c r="K47" i="23"/>
  <c r="K48" i="23"/>
  <c r="K49" i="23"/>
  <c r="K50" i="23"/>
  <c r="K51" i="23"/>
  <c r="K52" i="23"/>
  <c r="K53" i="23"/>
  <c r="K55" i="23" s="1"/>
  <c r="K54" i="23"/>
  <c r="K29" i="23"/>
  <c r="J51" i="23"/>
  <c r="J52" i="23"/>
  <c r="J53" i="23"/>
  <c r="J54" i="23"/>
  <c r="D54" i="23" s="1"/>
  <c r="J30" i="23"/>
  <c r="J31" i="23"/>
  <c r="J32" i="23"/>
  <c r="J33" i="23"/>
  <c r="J34" i="23"/>
  <c r="J35" i="23"/>
  <c r="J36" i="23"/>
  <c r="J37" i="23"/>
  <c r="D37" i="23" s="1"/>
  <c r="J38" i="23"/>
  <c r="J39" i="23"/>
  <c r="J40" i="23"/>
  <c r="J41" i="23"/>
  <c r="J42" i="23"/>
  <c r="J43" i="23"/>
  <c r="J44" i="23"/>
  <c r="J45" i="23"/>
  <c r="D45" i="23" s="1"/>
  <c r="J46" i="23"/>
  <c r="J47" i="23"/>
  <c r="J48" i="23"/>
  <c r="J49" i="23"/>
  <c r="J50" i="23"/>
  <c r="J29" i="23"/>
  <c r="I30" i="23"/>
  <c r="I31" i="23"/>
  <c r="I32" i="23"/>
  <c r="I33" i="23"/>
  <c r="B33" i="23" s="1"/>
  <c r="I34" i="23"/>
  <c r="I35" i="23"/>
  <c r="B35" i="23" s="1"/>
  <c r="I36" i="23"/>
  <c r="B36" i="23" s="1"/>
  <c r="I37" i="23"/>
  <c r="I38" i="23"/>
  <c r="I39" i="23"/>
  <c r="I40" i="23"/>
  <c r="I41" i="23"/>
  <c r="B41" i="23" s="1"/>
  <c r="I42" i="23"/>
  <c r="I43" i="23"/>
  <c r="B43" i="23" s="1"/>
  <c r="I44" i="23"/>
  <c r="I45" i="23"/>
  <c r="I46" i="23"/>
  <c r="I47" i="23"/>
  <c r="I48" i="23"/>
  <c r="I49" i="23"/>
  <c r="B49" i="23" s="1"/>
  <c r="I50" i="23"/>
  <c r="I51" i="23"/>
  <c r="I52" i="23"/>
  <c r="B52" i="23" s="1"/>
  <c r="I53" i="23"/>
  <c r="I54" i="23"/>
  <c r="I29" i="23"/>
  <c r="H30" i="23"/>
  <c r="H31" i="23"/>
  <c r="D31" i="23" s="1"/>
  <c r="H32" i="23"/>
  <c r="H33" i="23"/>
  <c r="H34" i="23"/>
  <c r="H35" i="23"/>
  <c r="H36" i="23"/>
  <c r="H37" i="23"/>
  <c r="H38" i="23"/>
  <c r="H39" i="23"/>
  <c r="D39" i="23" s="1"/>
  <c r="H40" i="23"/>
  <c r="H41" i="23"/>
  <c r="H42" i="23"/>
  <c r="H43" i="23"/>
  <c r="H44" i="23"/>
  <c r="H45" i="23"/>
  <c r="H46" i="23"/>
  <c r="H47" i="23"/>
  <c r="D47" i="23" s="1"/>
  <c r="H48" i="23"/>
  <c r="H49" i="23"/>
  <c r="H50" i="23"/>
  <c r="H51" i="23"/>
  <c r="H52" i="23"/>
  <c r="H53" i="23"/>
  <c r="D53" i="23" s="1"/>
  <c r="H54" i="23"/>
  <c r="H29" i="23"/>
  <c r="G55" i="23"/>
  <c r="G30" i="23"/>
  <c r="G31" i="23"/>
  <c r="G32" i="23"/>
  <c r="G33" i="23"/>
  <c r="G34" i="23"/>
  <c r="G35" i="23"/>
  <c r="G36" i="23"/>
  <c r="G37" i="23"/>
  <c r="G38" i="23"/>
  <c r="G39" i="23"/>
  <c r="G40" i="23"/>
  <c r="G41" i="23"/>
  <c r="G42" i="23"/>
  <c r="G43" i="23"/>
  <c r="G44" i="23"/>
  <c r="G45" i="23"/>
  <c r="G46" i="23"/>
  <c r="G47" i="23"/>
  <c r="G48" i="23"/>
  <c r="G49" i="23"/>
  <c r="G50" i="23"/>
  <c r="G51" i="23"/>
  <c r="G52" i="23"/>
  <c r="G53" i="23"/>
  <c r="G54" i="23"/>
  <c r="B54" i="23" s="1"/>
  <c r="B30" i="23"/>
  <c r="B38" i="23"/>
  <c r="B46" i="23"/>
  <c r="G29" i="23"/>
  <c r="D81" i="23"/>
  <c r="D82" i="23"/>
  <c r="D83" i="23"/>
  <c r="D84" i="23"/>
  <c r="D85" i="23"/>
  <c r="D86" i="23"/>
  <c r="D87" i="23"/>
  <c r="D88" i="23"/>
  <c r="D89" i="23"/>
  <c r="D90" i="23"/>
  <c r="D91" i="23"/>
  <c r="D92" i="23"/>
  <c r="D93" i="23"/>
  <c r="D94" i="23"/>
  <c r="D95" i="23"/>
  <c r="D96" i="23"/>
  <c r="D97" i="23"/>
  <c r="D98" i="23"/>
  <c r="D99" i="23"/>
  <c r="D100" i="23"/>
  <c r="D101" i="23"/>
  <c r="D102" i="23"/>
  <c r="D103" i="23"/>
  <c r="D104" i="23"/>
  <c r="D80" i="23"/>
  <c r="E80" i="23" s="1"/>
  <c r="B81" i="23"/>
  <c r="B82" i="23"/>
  <c r="B83" i="23"/>
  <c r="B84" i="23"/>
  <c r="B85" i="23"/>
  <c r="B86" i="23"/>
  <c r="B87" i="23"/>
  <c r="B88" i="23"/>
  <c r="B89" i="23"/>
  <c r="B90" i="23"/>
  <c r="B91" i="23"/>
  <c r="B92" i="23"/>
  <c r="B93" i="23"/>
  <c r="B94" i="23"/>
  <c r="B95" i="23"/>
  <c r="B96" i="23"/>
  <c r="B97" i="23"/>
  <c r="B98" i="23"/>
  <c r="B99" i="23"/>
  <c r="B100" i="23"/>
  <c r="B101" i="23"/>
  <c r="B102" i="23"/>
  <c r="B103" i="23"/>
  <c r="B104" i="23"/>
  <c r="B80" i="23"/>
  <c r="W30" i="15"/>
  <c r="V30" i="15"/>
  <c r="U30" i="15"/>
  <c r="T30" i="15"/>
  <c r="W30" i="5"/>
  <c r="V30" i="5"/>
  <c r="U30" i="5"/>
  <c r="T30" i="5"/>
  <c r="N5" i="34"/>
  <c r="N6" i="34"/>
  <c r="N7" i="34"/>
  <c r="N8" i="34"/>
  <c r="N9" i="34"/>
  <c r="N10" i="34"/>
  <c r="N11" i="34"/>
  <c r="N12" i="34"/>
  <c r="N13" i="34"/>
  <c r="N14" i="34"/>
  <c r="N15" i="34"/>
  <c r="N16" i="34"/>
  <c r="N17" i="34"/>
  <c r="N18" i="34"/>
  <c r="N19" i="34"/>
  <c r="N20" i="34"/>
  <c r="N21" i="34"/>
  <c r="N22" i="34"/>
  <c r="N23" i="34"/>
  <c r="N4" i="34"/>
  <c r="P30" i="34"/>
  <c r="O30" i="34"/>
  <c r="V31" i="32"/>
  <c r="Y31" i="32"/>
  <c r="X31" i="32"/>
  <c r="W31" i="32"/>
  <c r="Y30" i="31"/>
  <c r="X30" i="31"/>
  <c r="W30" i="31"/>
  <c r="V30" i="31"/>
  <c r="Y30" i="30"/>
  <c r="X30" i="30"/>
  <c r="W30" i="30"/>
  <c r="V30" i="30"/>
  <c r="Y31" i="29"/>
  <c r="X31" i="29"/>
  <c r="W31" i="29"/>
  <c r="V31" i="29"/>
  <c r="Y31" i="28"/>
  <c r="X31" i="28"/>
  <c r="W31" i="28"/>
  <c r="V31" i="28"/>
  <c r="Y31" i="27"/>
  <c r="X31" i="27"/>
  <c r="W31" i="27"/>
  <c r="V31" i="27"/>
  <c r="Y30" i="26"/>
  <c r="X30" i="26"/>
  <c r="W30" i="26"/>
  <c r="V30" i="26"/>
  <c r="W30" i="33"/>
  <c r="X30" i="33"/>
  <c r="Y30" i="33"/>
  <c r="V30" i="33"/>
  <c r="I32" i="3"/>
  <c r="J32" i="3"/>
  <c r="J29" i="9"/>
  <c r="I29" i="9"/>
  <c r="J29" i="18"/>
  <c r="I29" i="18"/>
  <c r="J29" i="10"/>
  <c r="I29" i="10"/>
  <c r="J29" i="17"/>
  <c r="N29" i="8"/>
  <c r="C80" i="23"/>
  <c r="D30" i="23"/>
  <c r="D33" i="23"/>
  <c r="D34" i="23"/>
  <c r="D35" i="23"/>
  <c r="D36" i="23"/>
  <c r="D38" i="23"/>
  <c r="D41" i="23"/>
  <c r="D42" i="23"/>
  <c r="D43" i="23"/>
  <c r="D44" i="23"/>
  <c r="D46" i="23"/>
  <c r="D49" i="23"/>
  <c r="D50" i="23"/>
  <c r="B31" i="23"/>
  <c r="B32" i="23"/>
  <c r="B34" i="23"/>
  <c r="B39" i="23"/>
  <c r="B40" i="23"/>
  <c r="B42" i="23"/>
  <c r="B44" i="23"/>
  <c r="B47" i="23"/>
  <c r="B48" i="23"/>
  <c r="B50" i="23"/>
  <c r="D51" i="23"/>
  <c r="F29" i="22"/>
  <c r="C81" i="23" l="1"/>
  <c r="C82" i="23" s="1"/>
  <c r="C83" i="23" s="1"/>
  <c r="C84" i="23" s="1"/>
  <c r="C85" i="23" s="1"/>
  <c r="C86" i="23" s="1"/>
  <c r="C87" i="23" s="1"/>
  <c r="C88" i="23" s="1"/>
  <c r="C89" i="23" s="1"/>
  <c r="C90" i="23" s="1"/>
  <c r="C91" i="23" s="1"/>
  <c r="C92" i="23" s="1"/>
  <c r="C93" i="23" s="1"/>
  <c r="C94" i="23" s="1"/>
  <c r="C95" i="23" s="1"/>
  <c r="C96" i="23" s="1"/>
  <c r="C97" i="23" s="1"/>
  <c r="C98" i="23" s="1"/>
  <c r="C99" i="23" s="1"/>
  <c r="C100" i="23" s="1"/>
  <c r="C101" i="23" s="1"/>
  <c r="C102" i="23" s="1"/>
  <c r="C103" i="23" s="1"/>
  <c r="C104" i="23" s="1"/>
  <c r="E81" i="23"/>
  <c r="E82" i="23" s="1"/>
  <c r="E83" i="23" s="1"/>
  <c r="E84" i="23" s="1"/>
  <c r="E85" i="23" s="1"/>
  <c r="E86" i="23" s="1"/>
  <c r="E87" i="23" s="1"/>
  <c r="E88" i="23" s="1"/>
  <c r="E89" i="23" s="1"/>
  <c r="E90" i="23" s="1"/>
  <c r="E91" i="23" s="1"/>
  <c r="E92" i="23" s="1"/>
  <c r="E93" i="23" s="1"/>
  <c r="E94" i="23" s="1"/>
  <c r="E95" i="23" s="1"/>
  <c r="E96" i="23" s="1"/>
  <c r="E97" i="23" s="1"/>
  <c r="E98" i="23" s="1"/>
  <c r="E99" i="23" s="1"/>
  <c r="E100" i="23" s="1"/>
  <c r="E101" i="23" s="1"/>
  <c r="E102" i="23" s="1"/>
  <c r="E103" i="23" s="1"/>
  <c r="E104" i="23" s="1"/>
  <c r="L55" i="23"/>
  <c r="D52" i="23"/>
  <c r="D40" i="23"/>
  <c r="D32" i="23"/>
  <c r="D29" i="23"/>
  <c r="E29" i="23" s="1"/>
  <c r="E30" i="23" s="1"/>
  <c r="E31" i="23" s="1"/>
  <c r="E32" i="23" s="1"/>
  <c r="E33" i="23" s="1"/>
  <c r="E34" i="23" s="1"/>
  <c r="E35" i="23" s="1"/>
  <c r="E36" i="23" s="1"/>
  <c r="E37" i="23" s="1"/>
  <c r="E38" i="23" s="1"/>
  <c r="E39" i="23" s="1"/>
  <c r="E40" i="23" s="1"/>
  <c r="E41" i="23" s="1"/>
  <c r="E42" i="23" s="1"/>
  <c r="E43" i="23" s="1"/>
  <c r="E44" i="23" s="1"/>
  <c r="E45" i="23" s="1"/>
  <c r="E46" i="23" s="1"/>
  <c r="E47" i="23" s="1"/>
  <c r="B53" i="23"/>
  <c r="B45" i="23"/>
  <c r="B29" i="23"/>
  <c r="C29" i="23"/>
  <c r="C30" i="23" s="1"/>
  <c r="C31" i="23" s="1"/>
  <c r="C32" i="23" s="1"/>
  <c r="C33" i="23" s="1"/>
  <c r="C34" i="23" s="1"/>
  <c r="C35" i="23" s="1"/>
  <c r="H55" i="23"/>
  <c r="B37" i="23"/>
  <c r="B51" i="23"/>
  <c r="J55" i="23"/>
  <c r="I55" i="23"/>
  <c r="D48" i="23"/>
  <c r="C2" i="23"/>
  <c r="C3" i="23" s="1"/>
  <c r="C4" i="23" s="1"/>
  <c r="C5" i="23" s="1"/>
  <c r="C6" i="23" s="1"/>
  <c r="C7" i="23" s="1"/>
  <c r="C8" i="23" s="1"/>
  <c r="C9" i="23" s="1"/>
  <c r="C10" i="23" s="1"/>
  <c r="C11" i="23" s="1"/>
  <c r="C12" i="23" s="1"/>
  <c r="C13" i="23" s="1"/>
  <c r="C14" i="23" s="1"/>
  <c r="C15" i="23" s="1"/>
  <c r="C16" i="23" s="1"/>
  <c r="C17" i="23" s="1"/>
  <c r="C18" i="23" s="1"/>
  <c r="C19" i="23" s="1"/>
  <c r="C20" i="23" s="1"/>
  <c r="C21" i="23" s="1"/>
  <c r="C22" i="23" s="1"/>
  <c r="C23" i="23" s="1"/>
  <c r="C24" i="23" s="1"/>
  <c r="E48" i="23" l="1"/>
  <c r="E49" i="23" s="1"/>
  <c r="E50" i="23" s="1"/>
  <c r="E51" i="23" s="1"/>
  <c r="E52" i="23" s="1"/>
  <c r="E53" i="23" s="1"/>
  <c r="E54" i="23" s="1"/>
  <c r="C36" i="23"/>
  <c r="C37" i="23" s="1"/>
  <c r="C38" i="23" s="1"/>
  <c r="C39" i="23" s="1"/>
  <c r="C40" i="23" s="1"/>
  <c r="C41" i="23" s="1"/>
  <c r="C42" i="23" s="1"/>
  <c r="C43" i="23" s="1"/>
  <c r="C44" i="23" s="1"/>
  <c r="C45" i="23" s="1"/>
  <c r="C46" i="23" s="1"/>
  <c r="C47" i="23" s="1"/>
  <c r="C48" i="23" s="1"/>
  <c r="C49" i="23" s="1"/>
  <c r="C50" i="23" s="1"/>
  <c r="C51" i="23" s="1"/>
  <c r="C52" i="23" s="1"/>
  <c r="C53" i="23" s="1"/>
  <c r="C54" i="23" s="1"/>
  <c r="D3" i="23"/>
  <c r="D4" i="23"/>
  <c r="D5" i="23"/>
  <c r="D6" i="23"/>
  <c r="D7" i="23"/>
  <c r="D8" i="23"/>
  <c r="D9" i="23"/>
  <c r="D10" i="23"/>
  <c r="D11" i="23"/>
  <c r="D12" i="23"/>
  <c r="D13" i="23"/>
  <c r="D14" i="23"/>
  <c r="D15" i="23"/>
  <c r="D16" i="23"/>
  <c r="D17" i="23"/>
  <c r="D18" i="23"/>
  <c r="D19" i="23"/>
  <c r="D20" i="23"/>
  <c r="D21" i="23"/>
  <c r="D22" i="23"/>
  <c r="D23" i="23"/>
  <c r="D24" i="23"/>
  <c r="D2" i="23"/>
  <c r="E2" i="23" s="1"/>
  <c r="E3" i="23" s="1"/>
  <c r="E4" i="23" s="1"/>
  <c r="E5" i="23" s="1"/>
  <c r="E6" i="23" s="1"/>
  <c r="E7" i="23" l="1"/>
  <c r="E8" i="23" s="1"/>
  <c r="E9" i="23" s="1"/>
  <c r="E10" i="23" s="1"/>
  <c r="E11" i="23" s="1"/>
  <c r="E12" i="23" s="1"/>
  <c r="E13" i="23" s="1"/>
  <c r="E14" i="23" s="1"/>
  <c r="E15" i="23" s="1"/>
  <c r="E16" i="23" s="1"/>
  <c r="E17" i="23" s="1"/>
  <c r="E18" i="23" s="1"/>
  <c r="E19" i="23" s="1"/>
  <c r="E20" i="23" s="1"/>
  <c r="E21" i="23" s="1"/>
  <c r="E22" i="23" s="1"/>
  <c r="E23" i="23" s="1"/>
  <c r="E24" i="23" s="1"/>
  <c r="D6" i="22"/>
  <c r="D12" i="22"/>
  <c r="D14" i="22"/>
  <c r="D20" i="22"/>
  <c r="D22" i="22"/>
  <c r="D28" i="22"/>
  <c r="D29" i="22"/>
  <c r="D4" i="22"/>
  <c r="E4" i="22" s="1"/>
  <c r="B27" i="22"/>
  <c r="B28" i="22"/>
  <c r="B29" i="22"/>
  <c r="E28" i="21"/>
  <c r="E29" i="21" s="1"/>
  <c r="E27" i="21"/>
  <c r="E4" i="21"/>
  <c r="E5" i="21"/>
  <c r="E6" i="21"/>
  <c r="E7" i="21"/>
  <c r="E8" i="21"/>
  <c r="E9" i="21"/>
  <c r="E10" i="21"/>
  <c r="E11" i="21"/>
  <c r="E12" i="21"/>
  <c r="E13" i="21"/>
  <c r="E14" i="21"/>
  <c r="E15" i="21"/>
  <c r="E16" i="21"/>
  <c r="E17" i="21"/>
  <c r="E18" i="21"/>
  <c r="E19" i="21"/>
  <c r="E20" i="21"/>
  <c r="E21" i="21"/>
  <c r="E22" i="21"/>
  <c r="E23" i="21"/>
  <c r="E24" i="21"/>
  <c r="E25" i="21"/>
  <c r="E26" i="21"/>
  <c r="E3" i="21"/>
  <c r="D4" i="21"/>
  <c r="D62" i="22" s="1"/>
  <c r="D5" i="21"/>
  <c r="D6" i="21"/>
  <c r="D64" i="22" s="1"/>
  <c r="D7" i="21"/>
  <c r="D65" i="22" s="1"/>
  <c r="D8" i="21"/>
  <c r="D66" i="22" s="1"/>
  <c r="D9" i="21"/>
  <c r="D67" i="22" s="1"/>
  <c r="D10" i="21"/>
  <c r="D11" i="21"/>
  <c r="D69" i="22" s="1"/>
  <c r="D12" i="21"/>
  <c r="D70" i="22" s="1"/>
  <c r="D13" i="21"/>
  <c r="D71" i="22" s="1"/>
  <c r="D14" i="21"/>
  <c r="D72" i="22" s="1"/>
  <c r="D15" i="21"/>
  <c r="D16" i="21"/>
  <c r="D74" i="22" s="1"/>
  <c r="D17" i="21"/>
  <c r="D75" i="22" s="1"/>
  <c r="D18" i="21"/>
  <c r="D76" i="22" s="1"/>
  <c r="D19" i="21"/>
  <c r="D77" i="22" s="1"/>
  <c r="D20" i="21"/>
  <c r="D78" i="22" s="1"/>
  <c r="D21" i="21"/>
  <c r="D79" i="22" s="1"/>
  <c r="D22" i="21"/>
  <c r="D80" i="22" s="1"/>
  <c r="D23" i="21"/>
  <c r="D81" i="22" s="1"/>
  <c r="D24" i="21"/>
  <c r="D82" i="22" s="1"/>
  <c r="D25" i="21"/>
  <c r="D83" i="22" s="1"/>
  <c r="D26" i="21"/>
  <c r="D84" i="22" s="1"/>
  <c r="D27" i="21"/>
  <c r="D85" i="22" s="1"/>
  <c r="D28" i="21"/>
  <c r="D3" i="21"/>
  <c r="C4" i="21"/>
  <c r="D33" i="22" s="1"/>
  <c r="C5" i="21"/>
  <c r="D34" i="22" s="1"/>
  <c r="C6" i="21"/>
  <c r="D35" i="22" s="1"/>
  <c r="C7" i="21"/>
  <c r="D36" i="22" s="1"/>
  <c r="C8" i="21"/>
  <c r="D37" i="22" s="1"/>
  <c r="C9" i="21"/>
  <c r="D38" i="22" s="1"/>
  <c r="C10" i="21"/>
  <c r="D39" i="22" s="1"/>
  <c r="C11" i="21"/>
  <c r="D40" i="22" s="1"/>
  <c r="C12" i="21"/>
  <c r="D41" i="22" s="1"/>
  <c r="C13" i="21"/>
  <c r="D42" i="22" s="1"/>
  <c r="C14" i="21"/>
  <c r="D43" i="22" s="1"/>
  <c r="C15" i="21"/>
  <c r="D44" i="22" s="1"/>
  <c r="C16" i="21"/>
  <c r="D45" i="22" s="1"/>
  <c r="C17" i="21"/>
  <c r="D46" i="22" s="1"/>
  <c r="C18" i="21"/>
  <c r="D47" i="22" s="1"/>
  <c r="C19" i="21"/>
  <c r="D48" i="22" s="1"/>
  <c r="C20" i="21"/>
  <c r="D49" i="22" s="1"/>
  <c r="C21" i="21"/>
  <c r="D50" i="22" s="1"/>
  <c r="C22" i="21"/>
  <c r="D51" i="22" s="1"/>
  <c r="C23" i="21"/>
  <c r="D52" i="22" s="1"/>
  <c r="C24" i="21"/>
  <c r="D53" i="22" s="1"/>
  <c r="C25" i="21"/>
  <c r="D54" i="22" s="1"/>
  <c r="C26" i="21"/>
  <c r="D55" i="22" s="1"/>
  <c r="C27" i="21"/>
  <c r="C28" i="21"/>
  <c r="C29" i="21" s="1"/>
  <c r="C3" i="21"/>
  <c r="D32" i="22" s="1"/>
  <c r="E32" i="22" s="1"/>
  <c r="B4" i="21"/>
  <c r="D5" i="22" s="1"/>
  <c r="B5" i="21"/>
  <c r="B6" i="21"/>
  <c r="D7" i="22" s="1"/>
  <c r="B7" i="21"/>
  <c r="D8" i="22" s="1"/>
  <c r="B8" i="21"/>
  <c r="B9" i="21"/>
  <c r="D10" i="22" s="1"/>
  <c r="B10" i="21"/>
  <c r="D11" i="22" s="1"/>
  <c r="B11" i="21"/>
  <c r="B12" i="21"/>
  <c r="D13" i="22" s="1"/>
  <c r="B13" i="21"/>
  <c r="B14" i="21"/>
  <c r="D15" i="22" s="1"/>
  <c r="B15" i="21"/>
  <c r="D16" i="22" s="1"/>
  <c r="B16" i="21"/>
  <c r="D17" i="22" s="1"/>
  <c r="B17" i="21"/>
  <c r="D18" i="22" s="1"/>
  <c r="B18" i="21"/>
  <c r="D19" i="22" s="1"/>
  <c r="B19" i="21"/>
  <c r="B20" i="21"/>
  <c r="D21" i="22" s="1"/>
  <c r="B21" i="21"/>
  <c r="B22" i="21"/>
  <c r="D23" i="22" s="1"/>
  <c r="B23" i="21"/>
  <c r="D24" i="22" s="1"/>
  <c r="B24" i="21"/>
  <c r="D25" i="22" s="1"/>
  <c r="B25" i="21"/>
  <c r="D26" i="22" s="1"/>
  <c r="B26" i="21"/>
  <c r="D27" i="22" s="1"/>
  <c r="B3" i="21"/>
  <c r="E4" i="20"/>
  <c r="E5" i="20"/>
  <c r="E6" i="20"/>
  <c r="E7" i="20"/>
  <c r="E8" i="20"/>
  <c r="E9" i="20"/>
  <c r="E10" i="20"/>
  <c r="E11" i="20"/>
  <c r="E12" i="20"/>
  <c r="E13" i="20"/>
  <c r="E14" i="20"/>
  <c r="E15" i="20"/>
  <c r="E16" i="20"/>
  <c r="E17" i="20"/>
  <c r="E18" i="20"/>
  <c r="E19" i="20"/>
  <c r="E20" i="20"/>
  <c r="E21" i="20"/>
  <c r="E22" i="20"/>
  <c r="E23" i="20"/>
  <c r="E24" i="20"/>
  <c r="E25" i="20"/>
  <c r="E26" i="20"/>
  <c r="E27" i="20"/>
  <c r="E28" i="20"/>
  <c r="E3" i="20"/>
  <c r="D4" i="20"/>
  <c r="D5" i="20"/>
  <c r="D6" i="20"/>
  <c r="D7" i="20"/>
  <c r="D8" i="20"/>
  <c r="D9" i="20"/>
  <c r="D10" i="20"/>
  <c r="D11" i="20"/>
  <c r="D12" i="20"/>
  <c r="D13" i="20"/>
  <c r="D14" i="20"/>
  <c r="D15" i="20"/>
  <c r="D16" i="20"/>
  <c r="D17" i="20"/>
  <c r="D18" i="20"/>
  <c r="D19" i="20"/>
  <c r="D20" i="20"/>
  <c r="D21" i="20"/>
  <c r="D22" i="20"/>
  <c r="D23" i="20"/>
  <c r="D24" i="20"/>
  <c r="D25" i="20"/>
  <c r="D26" i="20"/>
  <c r="D27" i="20"/>
  <c r="D28" i="20"/>
  <c r="D3" i="20"/>
  <c r="C28" i="20"/>
  <c r="C4" i="20"/>
  <c r="B33" i="22" s="1"/>
  <c r="C5" i="20"/>
  <c r="B34" i="22" s="1"/>
  <c r="C6" i="20"/>
  <c r="B35" i="22" s="1"/>
  <c r="C7" i="20"/>
  <c r="B36" i="22" s="1"/>
  <c r="C8" i="20"/>
  <c r="B37" i="22" s="1"/>
  <c r="C9" i="20"/>
  <c r="B38" i="22" s="1"/>
  <c r="C10" i="20"/>
  <c r="B39" i="22" s="1"/>
  <c r="C11" i="20"/>
  <c r="B40" i="22" s="1"/>
  <c r="C12" i="20"/>
  <c r="B41" i="22" s="1"/>
  <c r="C13" i="20"/>
  <c r="B42" i="22" s="1"/>
  <c r="C14" i="20"/>
  <c r="B43" i="22" s="1"/>
  <c r="C15" i="20"/>
  <c r="B44" i="22" s="1"/>
  <c r="C16" i="20"/>
  <c r="B45" i="22" s="1"/>
  <c r="C17" i="20"/>
  <c r="B46" i="22" s="1"/>
  <c r="C18" i="20"/>
  <c r="B47" i="22" s="1"/>
  <c r="C19" i="20"/>
  <c r="B48" i="22" s="1"/>
  <c r="C20" i="20"/>
  <c r="B49" i="22" s="1"/>
  <c r="C21" i="20"/>
  <c r="B50" i="22" s="1"/>
  <c r="C22" i="20"/>
  <c r="B51" i="22" s="1"/>
  <c r="C23" i="20"/>
  <c r="B52" i="22" s="1"/>
  <c r="C24" i="20"/>
  <c r="B53" i="22" s="1"/>
  <c r="C25" i="20"/>
  <c r="B54" i="22" s="1"/>
  <c r="C26" i="20"/>
  <c r="B55" i="22" s="1"/>
  <c r="C27" i="20"/>
  <c r="B56" i="22" s="1"/>
  <c r="C3" i="20"/>
  <c r="N30" i="32"/>
  <c r="Q30" i="32"/>
  <c r="S30" i="32"/>
  <c r="E30" i="31"/>
  <c r="E30" i="26"/>
  <c r="Q29" i="33"/>
  <c r="S29" i="33"/>
  <c r="Q28" i="33"/>
  <c r="B4" i="20"/>
  <c r="B5" i="22" s="1"/>
  <c r="B5" i="20"/>
  <c r="B6" i="22" s="1"/>
  <c r="B6" i="20"/>
  <c r="B7" i="20"/>
  <c r="B8" i="20"/>
  <c r="B9" i="20"/>
  <c r="B10" i="20"/>
  <c r="B11" i="22" s="1"/>
  <c r="B11" i="20"/>
  <c r="B12" i="22" s="1"/>
  <c r="B12" i="20"/>
  <c r="B13" i="22" s="1"/>
  <c r="B13" i="20"/>
  <c r="B14" i="22" s="1"/>
  <c r="B14" i="20"/>
  <c r="B15" i="20"/>
  <c r="B16" i="20"/>
  <c r="B17" i="22" s="1"/>
  <c r="B17" i="20"/>
  <c r="B18" i="20"/>
  <c r="B19" i="22" s="1"/>
  <c r="B19" i="20"/>
  <c r="B20" i="22" s="1"/>
  <c r="B20" i="20"/>
  <c r="B21" i="22" s="1"/>
  <c r="B21" i="20"/>
  <c r="B22" i="22" s="1"/>
  <c r="B22" i="20"/>
  <c r="B23" i="22" s="1"/>
  <c r="B23" i="20"/>
  <c r="B24" i="22" s="1"/>
  <c r="B24" i="20"/>
  <c r="B25" i="22" s="1"/>
  <c r="B25" i="20"/>
  <c r="B3" i="20"/>
  <c r="B4" i="22" s="1"/>
  <c r="C4" i="22" s="1"/>
  <c r="AA29" i="4"/>
  <c r="Q29" i="4"/>
  <c r="M29" i="4"/>
  <c r="I29" i="4"/>
  <c r="E29" i="4"/>
  <c r="W28" i="4"/>
  <c r="U28" i="4"/>
  <c r="W27" i="4"/>
  <c r="Y27" i="4" s="1"/>
  <c r="U27" i="4"/>
  <c r="W26" i="4"/>
  <c r="U26" i="4"/>
  <c r="W25" i="4"/>
  <c r="Y25" i="4" s="1"/>
  <c r="U25" i="4"/>
  <c r="W24" i="4"/>
  <c r="U24" i="4"/>
  <c r="W23" i="4"/>
  <c r="U23" i="4"/>
  <c r="Y23" i="4" s="1"/>
  <c r="W22" i="4"/>
  <c r="U22" i="4"/>
  <c r="W21" i="4"/>
  <c r="U21" i="4"/>
  <c r="W20" i="4"/>
  <c r="U20" i="4"/>
  <c r="Y20" i="4" s="1"/>
  <c r="W19" i="4"/>
  <c r="U19" i="4"/>
  <c r="W18" i="4"/>
  <c r="Y18" i="4" s="1"/>
  <c r="U18" i="4"/>
  <c r="W17" i="4"/>
  <c r="U17" i="4"/>
  <c r="W16" i="4"/>
  <c r="U16" i="4"/>
  <c r="W15" i="4"/>
  <c r="Y15" i="4" s="1"/>
  <c r="U15" i="4"/>
  <c r="W14" i="4"/>
  <c r="Y14" i="4" s="1"/>
  <c r="U14" i="4"/>
  <c r="W13" i="4"/>
  <c r="U13" i="4"/>
  <c r="W12" i="4"/>
  <c r="U12" i="4"/>
  <c r="Y12" i="4" s="1"/>
  <c r="W11" i="4"/>
  <c r="Y11" i="4" s="1"/>
  <c r="U11" i="4"/>
  <c r="W10" i="4"/>
  <c r="U10" i="4"/>
  <c r="W9" i="4"/>
  <c r="U9" i="4"/>
  <c r="W8" i="4"/>
  <c r="U8" i="4"/>
  <c r="W7" i="4"/>
  <c r="U7" i="4"/>
  <c r="Y7" i="4" s="1"/>
  <c r="T7" i="4"/>
  <c r="T8" i="4" s="1"/>
  <c r="T9" i="4" s="1"/>
  <c r="T10" i="4" s="1"/>
  <c r="T11" i="4" s="1"/>
  <c r="T12" i="4" s="1"/>
  <c r="T13" i="4" s="1"/>
  <c r="T14" i="4" s="1"/>
  <c r="T15" i="4" s="1"/>
  <c r="T16" i="4" s="1"/>
  <c r="T17" i="4" s="1"/>
  <c r="T18" i="4" s="1"/>
  <c r="T19" i="4" s="1"/>
  <c r="T20" i="4" s="1"/>
  <c r="T21" i="4" s="1"/>
  <c r="T22" i="4" s="1"/>
  <c r="T23" i="4" s="1"/>
  <c r="T24" i="4" s="1"/>
  <c r="T25" i="4" s="1"/>
  <c r="T26" i="4" s="1"/>
  <c r="T27" i="4" s="1"/>
  <c r="T28" i="4" s="1"/>
  <c r="W6" i="4"/>
  <c r="U6" i="4"/>
  <c r="T6" i="4"/>
  <c r="W5" i="4"/>
  <c r="Y5" i="4" s="1"/>
  <c r="V5" i="4"/>
  <c r="V6" i="4" s="1"/>
  <c r="R5" i="4"/>
  <c r="R6" i="4" s="1"/>
  <c r="R7" i="4" s="1"/>
  <c r="R8" i="4" s="1"/>
  <c r="R9" i="4" s="1"/>
  <c r="R10" i="4" s="1"/>
  <c r="R11" i="4" s="1"/>
  <c r="R12" i="4" s="1"/>
  <c r="R13" i="4" s="1"/>
  <c r="R14" i="4" s="1"/>
  <c r="R15" i="4" s="1"/>
  <c r="R16" i="4" s="1"/>
  <c r="R17" i="4" s="1"/>
  <c r="R18" i="4" s="1"/>
  <c r="R19" i="4" s="1"/>
  <c r="R20" i="4" s="1"/>
  <c r="R21" i="4" s="1"/>
  <c r="R22" i="4" s="1"/>
  <c r="R23" i="4" s="1"/>
  <c r="R24" i="4" s="1"/>
  <c r="R25" i="4" s="1"/>
  <c r="R26" i="4" s="1"/>
  <c r="R27" i="4" s="1"/>
  <c r="R28" i="4" s="1"/>
  <c r="P5" i="4"/>
  <c r="P6" i="4" s="1"/>
  <c r="P7" i="4" s="1"/>
  <c r="P8" i="4" s="1"/>
  <c r="P9" i="4" s="1"/>
  <c r="P10" i="4" s="1"/>
  <c r="P11" i="4" s="1"/>
  <c r="P12" i="4" s="1"/>
  <c r="P13" i="4" s="1"/>
  <c r="P14" i="4" s="1"/>
  <c r="P15" i="4" s="1"/>
  <c r="P16" i="4" s="1"/>
  <c r="P17" i="4" s="1"/>
  <c r="P18" i="4" s="1"/>
  <c r="P19" i="4" s="1"/>
  <c r="P20" i="4" s="1"/>
  <c r="P21" i="4" s="1"/>
  <c r="P22" i="4" s="1"/>
  <c r="P23" i="4" s="1"/>
  <c r="P24" i="4" s="1"/>
  <c r="P25" i="4" s="1"/>
  <c r="P26" i="4" s="1"/>
  <c r="P27" i="4" s="1"/>
  <c r="N5" i="4"/>
  <c r="N6" i="4" s="1"/>
  <c r="N7" i="4" s="1"/>
  <c r="N8" i="4" s="1"/>
  <c r="N9" i="4" s="1"/>
  <c r="N10" i="4" s="1"/>
  <c r="N11" i="4" s="1"/>
  <c r="N12" i="4" s="1"/>
  <c r="N13" i="4" s="1"/>
  <c r="N14" i="4" s="1"/>
  <c r="N15" i="4" s="1"/>
  <c r="N16" i="4" s="1"/>
  <c r="N17" i="4" s="1"/>
  <c r="N18" i="4" s="1"/>
  <c r="N19" i="4" s="1"/>
  <c r="N20" i="4" s="1"/>
  <c r="N21" i="4" s="1"/>
  <c r="N22" i="4" s="1"/>
  <c r="N23" i="4" s="1"/>
  <c r="N24" i="4" s="1"/>
  <c r="N25" i="4" s="1"/>
  <c r="N26" i="4" s="1"/>
  <c r="N27" i="4" s="1"/>
  <c r="N28" i="4" s="1"/>
  <c r="L5" i="4"/>
  <c r="L6" i="4" s="1"/>
  <c r="L7" i="4" s="1"/>
  <c r="L8" i="4" s="1"/>
  <c r="L9" i="4" s="1"/>
  <c r="L10" i="4" s="1"/>
  <c r="L11" i="4" s="1"/>
  <c r="L12" i="4" s="1"/>
  <c r="L13" i="4" s="1"/>
  <c r="L14" i="4" s="1"/>
  <c r="L15" i="4" s="1"/>
  <c r="L16" i="4" s="1"/>
  <c r="L17" i="4" s="1"/>
  <c r="L18" i="4" s="1"/>
  <c r="L19" i="4" s="1"/>
  <c r="L20" i="4" s="1"/>
  <c r="L21" i="4" s="1"/>
  <c r="L22" i="4" s="1"/>
  <c r="L23" i="4" s="1"/>
  <c r="L24" i="4" s="1"/>
  <c r="L25" i="4" s="1"/>
  <c r="L26" i="4" s="1"/>
  <c r="L27" i="4" s="1"/>
  <c r="J5" i="4"/>
  <c r="J6" i="4" s="1"/>
  <c r="J7" i="4" s="1"/>
  <c r="J8" i="4" s="1"/>
  <c r="J9" i="4" s="1"/>
  <c r="J10" i="4" s="1"/>
  <c r="J11" i="4" s="1"/>
  <c r="J12" i="4" s="1"/>
  <c r="J13" i="4" s="1"/>
  <c r="J14" i="4" s="1"/>
  <c r="J15" i="4" s="1"/>
  <c r="J16" i="4" s="1"/>
  <c r="J17" i="4" s="1"/>
  <c r="J18" i="4" s="1"/>
  <c r="J19" i="4" s="1"/>
  <c r="J20" i="4" s="1"/>
  <c r="J21" i="4" s="1"/>
  <c r="J22" i="4" s="1"/>
  <c r="J23" i="4" s="1"/>
  <c r="J24" i="4" s="1"/>
  <c r="J25" i="4" s="1"/>
  <c r="J26" i="4" s="1"/>
  <c r="J27" i="4" s="1"/>
  <c r="J28" i="4" s="1"/>
  <c r="H5" i="4"/>
  <c r="H6" i="4" s="1"/>
  <c r="H7" i="4" s="1"/>
  <c r="H8" i="4" s="1"/>
  <c r="H9" i="4" s="1"/>
  <c r="H10" i="4" s="1"/>
  <c r="H11" i="4" s="1"/>
  <c r="H12" i="4" s="1"/>
  <c r="H13" i="4" s="1"/>
  <c r="H14" i="4" s="1"/>
  <c r="H15" i="4" s="1"/>
  <c r="H16" i="4" s="1"/>
  <c r="H17" i="4" s="1"/>
  <c r="H18" i="4" s="1"/>
  <c r="H19" i="4" s="1"/>
  <c r="H20" i="4" s="1"/>
  <c r="H21" i="4" s="1"/>
  <c r="H22" i="4" s="1"/>
  <c r="H23" i="4" s="1"/>
  <c r="H24" i="4" s="1"/>
  <c r="H25" i="4" s="1"/>
  <c r="H26" i="4" s="1"/>
  <c r="H27" i="4" s="1"/>
  <c r="F5" i="4"/>
  <c r="F6" i="4" s="1"/>
  <c r="F7" i="4" s="1"/>
  <c r="F8" i="4" s="1"/>
  <c r="F9" i="4" s="1"/>
  <c r="F10" i="4" s="1"/>
  <c r="F11" i="4" s="1"/>
  <c r="F12" i="4" s="1"/>
  <c r="F13" i="4" s="1"/>
  <c r="F14" i="4" s="1"/>
  <c r="F15" i="4" s="1"/>
  <c r="F16" i="4" s="1"/>
  <c r="F17" i="4" s="1"/>
  <c r="F18" i="4" s="1"/>
  <c r="F19" i="4" s="1"/>
  <c r="F20" i="4" s="1"/>
  <c r="F21" i="4" s="1"/>
  <c r="F22" i="4" s="1"/>
  <c r="F23" i="4" s="1"/>
  <c r="F24" i="4" s="1"/>
  <c r="F25" i="4" s="1"/>
  <c r="F26" i="4" s="1"/>
  <c r="F27" i="4" s="1"/>
  <c r="F28" i="4" s="1"/>
  <c r="E33" i="3"/>
  <c r="H4" i="3"/>
  <c r="H5" i="3" s="1"/>
  <c r="H6" i="3" s="1"/>
  <c r="H7" i="3" s="1"/>
  <c r="H8" i="3" s="1"/>
  <c r="H9" i="3" s="1"/>
  <c r="H10" i="3" s="1"/>
  <c r="H11" i="3" s="1"/>
  <c r="H12" i="3" s="1"/>
  <c r="H13" i="3" s="1"/>
  <c r="H14" i="3" s="1"/>
  <c r="H15" i="3" s="1"/>
  <c r="H16" i="3" s="1"/>
  <c r="H17" i="3" s="1"/>
  <c r="H18" i="3" s="1"/>
  <c r="H19" i="3" s="1"/>
  <c r="H20" i="3" s="1"/>
  <c r="H21" i="3" s="1"/>
  <c r="H22" i="3" s="1"/>
  <c r="H23" i="3" s="1"/>
  <c r="H24" i="3" s="1"/>
  <c r="F4" i="3"/>
  <c r="F5" i="3" s="1"/>
  <c r="F6" i="3" s="1"/>
  <c r="F7" i="3" s="1"/>
  <c r="F8" i="3" s="1"/>
  <c r="F9" i="3" s="1"/>
  <c r="F10" i="3" s="1"/>
  <c r="F11" i="3" s="1"/>
  <c r="F12" i="3" s="1"/>
  <c r="F13" i="3" s="1"/>
  <c r="F14" i="3" s="1"/>
  <c r="F15" i="3" s="1"/>
  <c r="F16" i="3" s="1"/>
  <c r="F17" i="3" s="1"/>
  <c r="F18" i="3" s="1"/>
  <c r="F19" i="3" s="1"/>
  <c r="F20" i="3" s="1"/>
  <c r="F21" i="3" s="1"/>
  <c r="F22" i="3" s="1"/>
  <c r="F23" i="3" s="1"/>
  <c r="F24" i="3" s="1"/>
  <c r="H4" i="9"/>
  <c r="H5" i="9" s="1"/>
  <c r="H6" i="9" s="1"/>
  <c r="H7" i="9" s="1"/>
  <c r="H8" i="9" s="1"/>
  <c r="H9" i="9" s="1"/>
  <c r="H10" i="9" s="1"/>
  <c r="H11" i="9" s="1"/>
  <c r="H12" i="9" s="1"/>
  <c r="H13" i="9" s="1"/>
  <c r="H14" i="9" s="1"/>
  <c r="H15" i="9" s="1"/>
  <c r="H16" i="9" s="1"/>
  <c r="H17" i="9" s="1"/>
  <c r="H18" i="9" s="1"/>
  <c r="H19" i="9" s="1"/>
  <c r="H20" i="9" s="1"/>
  <c r="H21" i="9" s="1"/>
  <c r="H22" i="9" s="1"/>
  <c r="H23" i="9" s="1"/>
  <c r="H24" i="9" s="1"/>
  <c r="H25" i="9" s="1"/>
  <c r="H26" i="9" s="1"/>
  <c r="H27" i="9" s="1"/>
  <c r="H28" i="9" s="1"/>
  <c r="F4" i="9"/>
  <c r="F5" i="9" s="1"/>
  <c r="F6" i="9" s="1"/>
  <c r="F7" i="9" s="1"/>
  <c r="F8" i="9" s="1"/>
  <c r="F9" i="9" s="1"/>
  <c r="F10" i="9" s="1"/>
  <c r="F11" i="9" s="1"/>
  <c r="F12" i="9" s="1"/>
  <c r="F13" i="9" s="1"/>
  <c r="F14" i="9" s="1"/>
  <c r="F15" i="9" s="1"/>
  <c r="F16" i="9" s="1"/>
  <c r="F17" i="9" s="1"/>
  <c r="F18" i="9" s="1"/>
  <c r="F19" i="9" s="1"/>
  <c r="F20" i="9" s="1"/>
  <c r="F21" i="9" s="1"/>
  <c r="F22" i="9" s="1"/>
  <c r="F23" i="9" s="1"/>
  <c r="F24" i="9" s="1"/>
  <c r="F25" i="9" s="1"/>
  <c r="F26" i="9" s="1"/>
  <c r="F27" i="9" s="1"/>
  <c r="F28" i="9" s="1"/>
  <c r="H4" i="18"/>
  <c r="H5" i="18" s="1"/>
  <c r="H6" i="18" s="1"/>
  <c r="H7" i="18" s="1"/>
  <c r="H8" i="18" s="1"/>
  <c r="H9" i="18" s="1"/>
  <c r="H10" i="18" s="1"/>
  <c r="H11" i="18" s="1"/>
  <c r="H12" i="18" s="1"/>
  <c r="H13" i="18" s="1"/>
  <c r="H14" i="18" s="1"/>
  <c r="H15" i="18" s="1"/>
  <c r="H16" i="18" s="1"/>
  <c r="H17" i="18" s="1"/>
  <c r="H18" i="18" s="1"/>
  <c r="H19" i="18" s="1"/>
  <c r="H20" i="18" s="1"/>
  <c r="H21" i="18" s="1"/>
  <c r="H22" i="18" s="1"/>
  <c r="H23" i="18" s="1"/>
  <c r="H24" i="18" s="1"/>
  <c r="H25" i="18" s="1"/>
  <c r="H26" i="18" s="1"/>
  <c r="H27" i="18" s="1"/>
  <c r="H28" i="18" s="1"/>
  <c r="F4" i="18"/>
  <c r="F5" i="18" s="1"/>
  <c r="F6" i="18" s="1"/>
  <c r="F7" i="18" s="1"/>
  <c r="F8" i="18" s="1"/>
  <c r="F9" i="18" s="1"/>
  <c r="F10" i="18" s="1"/>
  <c r="F11" i="18" s="1"/>
  <c r="F12" i="18" s="1"/>
  <c r="F13" i="18" s="1"/>
  <c r="F14" i="18" s="1"/>
  <c r="F15" i="18" s="1"/>
  <c r="F16" i="18" s="1"/>
  <c r="F17" i="18" s="1"/>
  <c r="F18" i="18" s="1"/>
  <c r="F19" i="18" s="1"/>
  <c r="F20" i="18" s="1"/>
  <c r="F21" i="18" s="1"/>
  <c r="F22" i="18" s="1"/>
  <c r="F23" i="18" s="1"/>
  <c r="F24" i="18" s="1"/>
  <c r="F25" i="18" s="1"/>
  <c r="F26" i="18" s="1"/>
  <c r="F27" i="18" s="1"/>
  <c r="F28" i="18" s="1"/>
  <c r="H4" i="10"/>
  <c r="H5" i="10" s="1"/>
  <c r="H6" i="10" s="1"/>
  <c r="H7" i="10" s="1"/>
  <c r="H8" i="10" s="1"/>
  <c r="H9" i="10" s="1"/>
  <c r="H10" i="10" s="1"/>
  <c r="H11" i="10" s="1"/>
  <c r="H12" i="10" s="1"/>
  <c r="H13" i="10" s="1"/>
  <c r="H14" i="10" s="1"/>
  <c r="H15" i="10" s="1"/>
  <c r="H16" i="10" s="1"/>
  <c r="H17" i="10" s="1"/>
  <c r="H18" i="10" s="1"/>
  <c r="H19" i="10" s="1"/>
  <c r="H20" i="10" s="1"/>
  <c r="H21" i="10" s="1"/>
  <c r="H22" i="10" s="1"/>
  <c r="H23" i="10" s="1"/>
  <c r="H24" i="10" s="1"/>
  <c r="H25" i="10" s="1"/>
  <c r="H26" i="10" s="1"/>
  <c r="H27" i="10" s="1"/>
  <c r="H28" i="10" s="1"/>
  <c r="F4" i="10"/>
  <c r="F5" i="10" s="1"/>
  <c r="F6" i="10" s="1"/>
  <c r="F7" i="10" s="1"/>
  <c r="F8" i="10" s="1"/>
  <c r="F9" i="10" s="1"/>
  <c r="F10" i="10" s="1"/>
  <c r="F11" i="10" s="1"/>
  <c r="F12" i="10" s="1"/>
  <c r="F13" i="10" s="1"/>
  <c r="F14" i="10" s="1"/>
  <c r="F15" i="10" s="1"/>
  <c r="F16" i="10" s="1"/>
  <c r="F17" i="10" s="1"/>
  <c r="F18" i="10" s="1"/>
  <c r="F19" i="10" s="1"/>
  <c r="F20" i="10" s="1"/>
  <c r="F21" i="10" s="1"/>
  <c r="F22" i="10" s="1"/>
  <c r="F23" i="10" s="1"/>
  <c r="F24" i="10" s="1"/>
  <c r="F25" i="10" s="1"/>
  <c r="F26" i="10" s="1"/>
  <c r="F27" i="10" s="1"/>
  <c r="F28" i="10" s="1"/>
  <c r="E30" i="17"/>
  <c r="H4" i="17"/>
  <c r="H5" i="17" s="1"/>
  <c r="H6" i="17" s="1"/>
  <c r="H7" i="17" s="1"/>
  <c r="H8" i="17" s="1"/>
  <c r="H9" i="17" s="1"/>
  <c r="H10" i="17" s="1"/>
  <c r="H11" i="17" s="1"/>
  <c r="H12" i="17" s="1"/>
  <c r="H13" i="17" s="1"/>
  <c r="H14" i="17" s="1"/>
  <c r="H15" i="17" s="1"/>
  <c r="H16" i="17" s="1"/>
  <c r="H17" i="17" s="1"/>
  <c r="H18" i="17" s="1"/>
  <c r="H19" i="17" s="1"/>
  <c r="H20" i="17" s="1"/>
  <c r="H21" i="17" s="1"/>
  <c r="H22" i="17" s="1"/>
  <c r="H23" i="17" s="1"/>
  <c r="H24" i="17" s="1"/>
  <c r="H25" i="17" s="1"/>
  <c r="H26" i="17" s="1"/>
  <c r="H27" i="17" s="1"/>
  <c r="H28" i="17" s="1"/>
  <c r="F4" i="17"/>
  <c r="F5" i="17" s="1"/>
  <c r="F6" i="17" s="1"/>
  <c r="F7" i="17" s="1"/>
  <c r="F8" i="17" s="1"/>
  <c r="F9" i="17" s="1"/>
  <c r="F10" i="17" s="1"/>
  <c r="F11" i="17" s="1"/>
  <c r="F12" i="17" s="1"/>
  <c r="F13" i="17" s="1"/>
  <c r="F14" i="17" s="1"/>
  <c r="F15" i="17" s="1"/>
  <c r="F16" i="17" s="1"/>
  <c r="F17" i="17" s="1"/>
  <c r="F18" i="17" s="1"/>
  <c r="F19" i="17" s="1"/>
  <c r="F20" i="17" s="1"/>
  <c r="F21" i="17" s="1"/>
  <c r="F22" i="17" s="1"/>
  <c r="F23" i="17" s="1"/>
  <c r="F24" i="17" s="1"/>
  <c r="F25" i="17" s="1"/>
  <c r="F26" i="17" s="1"/>
  <c r="F27" i="17" s="1"/>
  <c r="F28" i="17" s="1"/>
  <c r="L4" i="8"/>
  <c r="L5" i="8" s="1"/>
  <c r="L6" i="8" s="1"/>
  <c r="L7" i="8" s="1"/>
  <c r="L8" i="8" s="1"/>
  <c r="L9" i="8" s="1"/>
  <c r="L10" i="8" s="1"/>
  <c r="L11" i="8" s="1"/>
  <c r="L12" i="8" s="1"/>
  <c r="L13" i="8" s="1"/>
  <c r="L14" i="8" s="1"/>
  <c r="L15" i="8" s="1"/>
  <c r="L16" i="8" s="1"/>
  <c r="L17" i="8" s="1"/>
  <c r="L18" i="8" s="1"/>
  <c r="L19" i="8" s="1"/>
  <c r="L20" i="8" s="1"/>
  <c r="L21" i="8" s="1"/>
  <c r="L22" i="8" s="1"/>
  <c r="L23" i="8" s="1"/>
  <c r="L24" i="8" s="1"/>
  <c r="L25" i="8" s="1"/>
  <c r="L26" i="8" s="1"/>
  <c r="L27" i="8" s="1"/>
  <c r="L28" i="8" s="1"/>
  <c r="H4" i="8"/>
  <c r="H5" i="8" s="1"/>
  <c r="H6" i="8" s="1"/>
  <c r="H7" i="8" s="1"/>
  <c r="H8" i="8" s="1"/>
  <c r="H9" i="8" s="1"/>
  <c r="H10" i="8" s="1"/>
  <c r="H11" i="8" s="1"/>
  <c r="H12" i="8" s="1"/>
  <c r="H13" i="8" s="1"/>
  <c r="H14" i="8" s="1"/>
  <c r="H15" i="8" s="1"/>
  <c r="H16" i="8" s="1"/>
  <c r="H17" i="8" s="1"/>
  <c r="H18" i="8" s="1"/>
  <c r="H19" i="8" s="1"/>
  <c r="H20" i="8" s="1"/>
  <c r="H21" i="8" s="1"/>
  <c r="H22" i="8" s="1"/>
  <c r="H23" i="8" s="1"/>
  <c r="H24" i="8" s="1"/>
  <c r="H25" i="8" s="1"/>
  <c r="H26" i="8" s="1"/>
  <c r="H27" i="8" s="1"/>
  <c r="H28" i="8" s="1"/>
  <c r="F4" i="8"/>
  <c r="F5" i="8" s="1"/>
  <c r="P4" i="15"/>
  <c r="P5" i="15" s="1"/>
  <c r="P6" i="15" s="1"/>
  <c r="P7" i="15" s="1"/>
  <c r="P8" i="15" s="1"/>
  <c r="P9" i="15" s="1"/>
  <c r="P10" i="15" s="1"/>
  <c r="P11" i="15" s="1"/>
  <c r="P12" i="15" s="1"/>
  <c r="P13" i="15" s="1"/>
  <c r="P14" i="15" s="1"/>
  <c r="P15" i="15" s="1"/>
  <c r="P16" i="15" s="1"/>
  <c r="P17" i="15" s="1"/>
  <c r="P18" i="15" s="1"/>
  <c r="P19" i="15" s="1"/>
  <c r="P20" i="15" s="1"/>
  <c r="P21" i="15" s="1"/>
  <c r="P22" i="15" s="1"/>
  <c r="P23" i="15" s="1"/>
  <c r="P24" i="15" s="1"/>
  <c r="P25" i="15" s="1"/>
  <c r="P26" i="15" s="1"/>
  <c r="P27" i="15" s="1"/>
  <c r="K4" i="15"/>
  <c r="N4" i="15" s="1"/>
  <c r="F4" i="15"/>
  <c r="F5" i="15" s="1"/>
  <c r="F6" i="15" s="1"/>
  <c r="F7" i="15" s="1"/>
  <c r="F8" i="15" s="1"/>
  <c r="F9" i="15" s="1"/>
  <c r="F10" i="15" s="1"/>
  <c r="F11" i="15" s="1"/>
  <c r="F12" i="15" s="1"/>
  <c r="F13" i="15" s="1"/>
  <c r="F14" i="15" s="1"/>
  <c r="F15" i="15" s="1"/>
  <c r="F16" i="15" s="1"/>
  <c r="F17" i="15" s="1"/>
  <c r="F18" i="15" s="1"/>
  <c r="F19" i="15" s="1"/>
  <c r="F20" i="15" s="1"/>
  <c r="F21" i="15" s="1"/>
  <c r="F22" i="15" s="1"/>
  <c r="F23" i="15" s="1"/>
  <c r="F24" i="15" s="1"/>
  <c r="F25" i="15" s="1"/>
  <c r="F26" i="15" s="1"/>
  <c r="F27" i="15" s="1"/>
  <c r="F28" i="15" s="1"/>
  <c r="I28" i="15" s="1"/>
  <c r="S30" i="15"/>
  <c r="P4" i="5"/>
  <c r="P5" i="5" s="1"/>
  <c r="P6" i="5" s="1"/>
  <c r="P7" i="5" s="1"/>
  <c r="P8" i="5" s="1"/>
  <c r="P9" i="5" s="1"/>
  <c r="P10" i="5" s="1"/>
  <c r="P11" i="5" s="1"/>
  <c r="P12" i="5" s="1"/>
  <c r="P13" i="5" s="1"/>
  <c r="P14" i="5" s="1"/>
  <c r="P15" i="5" s="1"/>
  <c r="P16" i="5" s="1"/>
  <c r="P17" i="5" s="1"/>
  <c r="P18" i="5" s="1"/>
  <c r="P19" i="5" s="1"/>
  <c r="P20" i="5" s="1"/>
  <c r="P21" i="5" s="1"/>
  <c r="P22" i="5" s="1"/>
  <c r="P23" i="5" s="1"/>
  <c r="P24" i="5" s="1"/>
  <c r="P25" i="5" s="1"/>
  <c r="P26" i="5" s="1"/>
  <c r="S26" i="5" s="1"/>
  <c r="O30" i="5"/>
  <c r="J30" i="5"/>
  <c r="N30" i="5" s="1"/>
  <c r="L30" i="5"/>
  <c r="M4" i="5"/>
  <c r="M5" i="5" s="1"/>
  <c r="M6" i="5" s="1"/>
  <c r="M7" i="5" s="1"/>
  <c r="M8" i="5" s="1"/>
  <c r="M9" i="5" s="1"/>
  <c r="M10" i="5" s="1"/>
  <c r="M11" i="5" s="1"/>
  <c r="M12" i="5" s="1"/>
  <c r="M13" i="5" s="1"/>
  <c r="M14" i="5" s="1"/>
  <c r="M15" i="5" s="1"/>
  <c r="M16" i="5" s="1"/>
  <c r="M17" i="5" s="1"/>
  <c r="M18" i="5" s="1"/>
  <c r="M19" i="5" s="1"/>
  <c r="M20" i="5" s="1"/>
  <c r="K4" i="5"/>
  <c r="K5" i="5" s="1"/>
  <c r="K6" i="5" s="1"/>
  <c r="K7" i="5" s="1"/>
  <c r="K8" i="5" s="1"/>
  <c r="K9" i="5" s="1"/>
  <c r="K10" i="5" s="1"/>
  <c r="K11" i="5" s="1"/>
  <c r="K12" i="5" s="1"/>
  <c r="K13" i="5" s="1"/>
  <c r="K14" i="5" s="1"/>
  <c r="K15" i="5" s="1"/>
  <c r="K16" i="5" s="1"/>
  <c r="K17" i="5" s="1"/>
  <c r="K18" i="5" s="1"/>
  <c r="K19" i="5" s="1"/>
  <c r="K20" i="5" s="1"/>
  <c r="K21" i="5" s="1"/>
  <c r="K22" i="5" s="1"/>
  <c r="K23" i="5" s="1"/>
  <c r="K24" i="5" s="1"/>
  <c r="K25" i="5" s="1"/>
  <c r="K26" i="5" s="1"/>
  <c r="F4" i="5"/>
  <c r="F5" i="5" s="1"/>
  <c r="F6" i="5" s="1"/>
  <c r="F7" i="5" s="1"/>
  <c r="F8" i="5" s="1"/>
  <c r="F9" i="5" s="1"/>
  <c r="F10" i="5" s="1"/>
  <c r="F11" i="5" s="1"/>
  <c r="F12" i="5" s="1"/>
  <c r="F13" i="5" s="1"/>
  <c r="F14" i="5" s="1"/>
  <c r="F15" i="5" s="1"/>
  <c r="F16" i="5" s="1"/>
  <c r="F17" i="5" s="1"/>
  <c r="F18" i="5" s="1"/>
  <c r="F19" i="5" s="1"/>
  <c r="F20" i="5" s="1"/>
  <c r="F21" i="5" s="1"/>
  <c r="F22" i="5" s="1"/>
  <c r="F23" i="5" s="1"/>
  <c r="F24" i="5" s="1"/>
  <c r="F25" i="5" s="1"/>
  <c r="F26" i="5" s="1"/>
  <c r="K4" i="34"/>
  <c r="K5" i="34" s="1"/>
  <c r="K6" i="34" s="1"/>
  <c r="K7" i="34" s="1"/>
  <c r="K8" i="34" s="1"/>
  <c r="K9" i="34" s="1"/>
  <c r="K10" i="34" s="1"/>
  <c r="K11" i="34" s="1"/>
  <c r="K12" i="34" s="1"/>
  <c r="K13" i="34" s="1"/>
  <c r="K14" i="34" s="1"/>
  <c r="K15" i="34" s="1"/>
  <c r="K16" i="34" s="1"/>
  <c r="K17" i="34" s="1"/>
  <c r="K18" i="34" s="1"/>
  <c r="K19" i="34" s="1"/>
  <c r="K20" i="34" s="1"/>
  <c r="K21" i="34" s="1"/>
  <c r="K22" i="34" s="1"/>
  <c r="K23" i="34" s="1"/>
  <c r="J30" i="34"/>
  <c r="E30" i="34"/>
  <c r="F4" i="34"/>
  <c r="F5" i="34" s="1"/>
  <c r="F6" i="34" s="1"/>
  <c r="F7" i="34" s="1"/>
  <c r="F8" i="34" s="1"/>
  <c r="F9" i="34" s="1"/>
  <c r="F10" i="34" s="1"/>
  <c r="F11" i="34" s="1"/>
  <c r="F12" i="34" s="1"/>
  <c r="F13" i="34" s="1"/>
  <c r="F14" i="34" s="1"/>
  <c r="F15" i="34" s="1"/>
  <c r="F16" i="34" s="1"/>
  <c r="F17" i="34" s="1"/>
  <c r="F18" i="34" s="1"/>
  <c r="F19" i="34" s="1"/>
  <c r="F20" i="34" s="1"/>
  <c r="F21" i="34" s="1"/>
  <c r="F22" i="34" s="1"/>
  <c r="F23" i="34" s="1"/>
  <c r="E31" i="32"/>
  <c r="S27" i="32"/>
  <c r="S28" i="32"/>
  <c r="S27" i="31"/>
  <c r="S28" i="30"/>
  <c r="S29" i="30"/>
  <c r="Q9" i="30"/>
  <c r="Q29" i="30"/>
  <c r="Q17" i="30"/>
  <c r="Q27" i="30"/>
  <c r="Q28" i="30"/>
  <c r="S27" i="30"/>
  <c r="N4" i="30"/>
  <c r="M30" i="30"/>
  <c r="E30" i="30"/>
  <c r="N5" i="29"/>
  <c r="M31" i="29"/>
  <c r="L5" i="29"/>
  <c r="E31" i="29"/>
  <c r="S28" i="29"/>
  <c r="N5" i="28"/>
  <c r="J5" i="28"/>
  <c r="E31" i="28"/>
  <c r="S28" i="28"/>
  <c r="M31" i="27"/>
  <c r="J5" i="27"/>
  <c r="J6" i="27" s="1"/>
  <c r="S27" i="27"/>
  <c r="E31" i="27"/>
  <c r="Q27" i="27"/>
  <c r="Q28" i="27"/>
  <c r="Q27" i="26"/>
  <c r="M30" i="26"/>
  <c r="S27" i="26"/>
  <c r="I30" i="26"/>
  <c r="K25" i="33"/>
  <c r="S27" i="33"/>
  <c r="M30" i="33"/>
  <c r="K24" i="33"/>
  <c r="K23" i="33"/>
  <c r="O26" i="33"/>
  <c r="O25" i="33"/>
  <c r="S25" i="33" s="1"/>
  <c r="O24" i="33"/>
  <c r="O23" i="33"/>
  <c r="S23" i="33" s="1"/>
  <c r="O22" i="33"/>
  <c r="O21" i="33"/>
  <c r="S21" i="33" s="1"/>
  <c r="O20" i="33"/>
  <c r="O19" i="33"/>
  <c r="O18" i="33"/>
  <c r="O17" i="33"/>
  <c r="O16" i="33"/>
  <c r="O15" i="33"/>
  <c r="O14" i="33"/>
  <c r="S14" i="33" s="1"/>
  <c r="O13" i="33"/>
  <c r="O12" i="33"/>
  <c r="O11" i="33"/>
  <c r="O10" i="33"/>
  <c r="O9" i="33"/>
  <c r="O8" i="33"/>
  <c r="O7" i="33"/>
  <c r="S7" i="33" s="1"/>
  <c r="O6" i="33"/>
  <c r="O5" i="33"/>
  <c r="K22" i="33"/>
  <c r="K21" i="33"/>
  <c r="K20" i="33"/>
  <c r="K19" i="33"/>
  <c r="K18" i="33"/>
  <c r="K17" i="33"/>
  <c r="K16" i="33"/>
  <c r="K15" i="33"/>
  <c r="K14" i="33"/>
  <c r="K13" i="33"/>
  <c r="K12" i="33"/>
  <c r="K11" i="33"/>
  <c r="K10" i="33"/>
  <c r="K9" i="33"/>
  <c r="K8" i="33"/>
  <c r="K7" i="33"/>
  <c r="K6" i="33"/>
  <c r="G16" i="33"/>
  <c r="G15" i="33"/>
  <c r="G13" i="33"/>
  <c r="G12" i="33"/>
  <c r="G11" i="33"/>
  <c r="G10" i="33"/>
  <c r="G9" i="33"/>
  <c r="G8" i="33"/>
  <c r="F4" i="33"/>
  <c r="Q30" i="5"/>
  <c r="R5" i="5"/>
  <c r="R6" i="5" s="1"/>
  <c r="S4" i="5"/>
  <c r="R5" i="15"/>
  <c r="R6" i="15" s="1"/>
  <c r="M5" i="15"/>
  <c r="H5" i="15"/>
  <c r="H6" i="15" s="1"/>
  <c r="H5" i="5"/>
  <c r="L30" i="34"/>
  <c r="M5" i="34"/>
  <c r="M6" i="34" s="1"/>
  <c r="S6" i="32"/>
  <c r="S7" i="32"/>
  <c r="S8" i="32"/>
  <c r="S9" i="32"/>
  <c r="S10" i="32"/>
  <c r="S11" i="32"/>
  <c r="S12" i="32"/>
  <c r="S13" i="32"/>
  <c r="S14" i="32"/>
  <c r="S15" i="32"/>
  <c r="S16" i="32"/>
  <c r="S17" i="32"/>
  <c r="S18" i="32"/>
  <c r="S19" i="32"/>
  <c r="S20" i="32"/>
  <c r="S21" i="32"/>
  <c r="S22" i="32"/>
  <c r="S23" i="32"/>
  <c r="S24" i="32"/>
  <c r="S25" i="32"/>
  <c r="S26" i="32"/>
  <c r="S29" i="32"/>
  <c r="S5" i="32"/>
  <c r="S5" i="31"/>
  <c r="S6" i="31"/>
  <c r="S7" i="31"/>
  <c r="S8" i="31"/>
  <c r="S9" i="31"/>
  <c r="S10" i="31"/>
  <c r="S11" i="31"/>
  <c r="S12" i="31"/>
  <c r="S13" i="31"/>
  <c r="S14" i="31"/>
  <c r="S15" i="31"/>
  <c r="S16" i="31"/>
  <c r="S17" i="31"/>
  <c r="S18" i="31"/>
  <c r="S19" i="31"/>
  <c r="S20" i="31"/>
  <c r="S21" i="31"/>
  <c r="S22" i="31"/>
  <c r="S23" i="31"/>
  <c r="S24" i="31"/>
  <c r="S25" i="31"/>
  <c r="S26" i="31"/>
  <c r="S4" i="31"/>
  <c r="S5" i="30"/>
  <c r="S6" i="30"/>
  <c r="S7" i="30"/>
  <c r="S8" i="30"/>
  <c r="S9" i="30"/>
  <c r="S10" i="30"/>
  <c r="S11" i="30"/>
  <c r="S12" i="30"/>
  <c r="S13" i="30"/>
  <c r="S14" i="30"/>
  <c r="S15" i="30"/>
  <c r="S16" i="30"/>
  <c r="S17" i="30"/>
  <c r="S18" i="30"/>
  <c r="S19" i="30"/>
  <c r="S20" i="30"/>
  <c r="S21" i="30"/>
  <c r="S22" i="30"/>
  <c r="S23" i="30"/>
  <c r="S24" i="30"/>
  <c r="S25" i="30"/>
  <c r="S26" i="30"/>
  <c r="S4" i="30"/>
  <c r="Q5" i="30"/>
  <c r="Q6" i="30"/>
  <c r="Q7" i="30"/>
  <c r="Q8" i="30"/>
  <c r="Q10" i="30"/>
  <c r="Q11" i="30"/>
  <c r="Q12" i="30"/>
  <c r="Q13" i="30"/>
  <c r="Q14" i="30"/>
  <c r="Q15" i="30"/>
  <c r="Q16" i="30"/>
  <c r="Q18" i="30"/>
  <c r="Q19" i="30"/>
  <c r="Q20" i="30"/>
  <c r="Q21" i="30"/>
  <c r="Q22" i="30"/>
  <c r="Q23" i="30"/>
  <c r="Q24" i="30"/>
  <c r="Q25" i="30"/>
  <c r="Q26" i="30"/>
  <c r="Q4" i="30"/>
  <c r="S6" i="29"/>
  <c r="S7" i="29"/>
  <c r="S8" i="29"/>
  <c r="S9" i="29"/>
  <c r="S10" i="29"/>
  <c r="S11" i="29"/>
  <c r="S12" i="29"/>
  <c r="S13" i="29"/>
  <c r="S14" i="29"/>
  <c r="S15" i="29"/>
  <c r="S16" i="29"/>
  <c r="S17" i="29"/>
  <c r="S18" i="29"/>
  <c r="S19" i="29"/>
  <c r="S20" i="29"/>
  <c r="S21" i="29"/>
  <c r="S22" i="29"/>
  <c r="S23" i="29"/>
  <c r="S24" i="29"/>
  <c r="S25" i="29"/>
  <c r="S26" i="29"/>
  <c r="S27" i="29"/>
  <c r="S5" i="29"/>
  <c r="S6" i="28"/>
  <c r="S7" i="28"/>
  <c r="S8" i="28"/>
  <c r="S9" i="28"/>
  <c r="S10" i="28"/>
  <c r="S11" i="28"/>
  <c r="S12" i="28"/>
  <c r="S13" i="28"/>
  <c r="S14" i="28"/>
  <c r="S15" i="28"/>
  <c r="S16" i="28"/>
  <c r="S17" i="28"/>
  <c r="S18" i="28"/>
  <c r="S19" i="28"/>
  <c r="S20" i="28"/>
  <c r="S21" i="28"/>
  <c r="S22" i="28"/>
  <c r="S23" i="28"/>
  <c r="S24" i="28"/>
  <c r="S25" i="28"/>
  <c r="S26" i="28"/>
  <c r="S27" i="28"/>
  <c r="S5" i="28"/>
  <c r="S6" i="27"/>
  <c r="S7" i="27"/>
  <c r="S8" i="27"/>
  <c r="S9" i="27"/>
  <c r="S10" i="27"/>
  <c r="S11" i="27"/>
  <c r="S12" i="27"/>
  <c r="S13" i="27"/>
  <c r="S14" i="27"/>
  <c r="S15" i="27"/>
  <c r="S16" i="27"/>
  <c r="S17" i="27"/>
  <c r="S18" i="27"/>
  <c r="S19" i="27"/>
  <c r="S20" i="27"/>
  <c r="S21" i="27"/>
  <c r="S22" i="27"/>
  <c r="S23" i="27"/>
  <c r="S24" i="27"/>
  <c r="S25" i="27"/>
  <c r="S26" i="27"/>
  <c r="S28" i="27"/>
  <c r="S5" i="27"/>
  <c r="Q6" i="27"/>
  <c r="Q7" i="27"/>
  <c r="Q8" i="27"/>
  <c r="Q9" i="27"/>
  <c r="Q10" i="27"/>
  <c r="Q11" i="27"/>
  <c r="Q12" i="27"/>
  <c r="Q13" i="27"/>
  <c r="Q14" i="27"/>
  <c r="Q15" i="27"/>
  <c r="Q16" i="27"/>
  <c r="Q17" i="27"/>
  <c r="Q18" i="27"/>
  <c r="Q19" i="27"/>
  <c r="Q20" i="27"/>
  <c r="Q21" i="27"/>
  <c r="Q22" i="27"/>
  <c r="Q23" i="27"/>
  <c r="Q24" i="27"/>
  <c r="Q25" i="27"/>
  <c r="Q26" i="27"/>
  <c r="Q5" i="27"/>
  <c r="F5" i="27"/>
  <c r="F6" i="27" s="1"/>
  <c r="F7" i="27" s="1"/>
  <c r="F8" i="27" s="1"/>
  <c r="F9" i="27" s="1"/>
  <c r="F10" i="27" s="1"/>
  <c r="F11" i="27" s="1"/>
  <c r="F12" i="27" s="1"/>
  <c r="F13" i="27" s="1"/>
  <c r="F14" i="27" s="1"/>
  <c r="F15" i="27" s="1"/>
  <c r="F16" i="27" s="1"/>
  <c r="F17" i="27" s="1"/>
  <c r="F18" i="27" s="1"/>
  <c r="F19" i="27" s="1"/>
  <c r="F20" i="27" s="1"/>
  <c r="F21" i="27" s="1"/>
  <c r="F22" i="27" s="1"/>
  <c r="F23" i="27" s="1"/>
  <c r="F24" i="27" s="1"/>
  <c r="F25" i="27" s="1"/>
  <c r="F26" i="27" s="1"/>
  <c r="F27" i="27" s="1"/>
  <c r="F28" i="27" s="1"/>
  <c r="H5" i="27"/>
  <c r="H6" i="27" s="1"/>
  <c r="H7" i="27" s="1"/>
  <c r="H8" i="27" s="1"/>
  <c r="H9" i="27" s="1"/>
  <c r="H10" i="27" s="1"/>
  <c r="S5" i="26"/>
  <c r="S6" i="26"/>
  <c r="S7" i="26"/>
  <c r="S8" i="26"/>
  <c r="S9" i="26"/>
  <c r="S10" i="26"/>
  <c r="S11" i="26"/>
  <c r="S12" i="26"/>
  <c r="S13" i="26"/>
  <c r="S14" i="26"/>
  <c r="S15" i="26"/>
  <c r="S16" i="26"/>
  <c r="S17" i="26"/>
  <c r="S18" i="26"/>
  <c r="S19" i="26"/>
  <c r="S20" i="26"/>
  <c r="S21" i="26"/>
  <c r="S22" i="26"/>
  <c r="S23" i="26"/>
  <c r="S24" i="26"/>
  <c r="S25" i="26"/>
  <c r="S26" i="26"/>
  <c r="S4" i="26"/>
  <c r="Q5" i="26"/>
  <c r="Q6" i="26"/>
  <c r="Q7" i="26"/>
  <c r="Q8" i="26"/>
  <c r="Q9" i="26"/>
  <c r="Q10" i="26"/>
  <c r="Q11" i="26"/>
  <c r="Q12" i="26"/>
  <c r="Q13" i="26"/>
  <c r="Q14" i="26"/>
  <c r="Q15" i="26"/>
  <c r="Q16" i="26"/>
  <c r="Q17" i="26"/>
  <c r="Q18" i="26"/>
  <c r="Q19" i="26"/>
  <c r="Q20" i="26"/>
  <c r="Q21" i="26"/>
  <c r="Q22" i="26"/>
  <c r="Q23" i="26"/>
  <c r="Q24" i="26"/>
  <c r="Q25" i="26"/>
  <c r="Q26" i="26"/>
  <c r="S24" i="33"/>
  <c r="S4" i="33"/>
  <c r="B32" i="22" l="1"/>
  <c r="C32" i="22" s="1"/>
  <c r="C29" i="20"/>
  <c r="D29" i="20"/>
  <c r="D29" i="21"/>
  <c r="F27" i="21"/>
  <c r="D115" i="22" s="1"/>
  <c r="S4" i="15"/>
  <c r="I4" i="15"/>
  <c r="D61" i="22"/>
  <c r="E61" i="22" s="1"/>
  <c r="E62" i="22" s="1"/>
  <c r="E63" i="22" s="1"/>
  <c r="E64" i="22" s="1"/>
  <c r="E65" i="22" s="1"/>
  <c r="E66" i="22" s="1"/>
  <c r="E67" i="22" s="1"/>
  <c r="F7" i="21"/>
  <c r="D95" i="22" s="1"/>
  <c r="D68" i="22"/>
  <c r="D56" i="22"/>
  <c r="F8" i="21"/>
  <c r="D96" i="22" s="1"/>
  <c r="D86" i="22"/>
  <c r="D63" i="22"/>
  <c r="F8" i="20"/>
  <c r="B96" i="22" s="1"/>
  <c r="B83" i="22"/>
  <c r="B75" i="22"/>
  <c r="B67" i="22"/>
  <c r="D57" i="22"/>
  <c r="F28" i="21"/>
  <c r="D116" i="22" s="1"/>
  <c r="B57" i="22"/>
  <c r="F28" i="20"/>
  <c r="B66" i="22"/>
  <c r="F15" i="21"/>
  <c r="D103" i="22" s="1"/>
  <c r="F12" i="21"/>
  <c r="D100" i="22" s="1"/>
  <c r="B61" i="22"/>
  <c r="C61" i="22" s="1"/>
  <c r="B79" i="22"/>
  <c r="B71" i="22"/>
  <c r="B63" i="22"/>
  <c r="B85" i="22"/>
  <c r="B77" i="22"/>
  <c r="B69" i="22"/>
  <c r="D73" i="22"/>
  <c r="E5" i="22"/>
  <c r="E6" i="22" s="1"/>
  <c r="E7" i="22" s="1"/>
  <c r="E8" i="22" s="1"/>
  <c r="F13" i="21"/>
  <c r="D101" i="22" s="1"/>
  <c r="F20" i="21"/>
  <c r="D108" i="22" s="1"/>
  <c r="D9" i="22"/>
  <c r="F23" i="21"/>
  <c r="D111" i="22" s="1"/>
  <c r="E33" i="22"/>
  <c r="E34" i="22" s="1"/>
  <c r="E35" i="22" s="1"/>
  <c r="E36" i="22" s="1"/>
  <c r="E37" i="22" s="1"/>
  <c r="E38" i="22" s="1"/>
  <c r="E39" i="22" s="1"/>
  <c r="E40" i="22" s="1"/>
  <c r="E41" i="22" s="1"/>
  <c r="E42" i="22" s="1"/>
  <c r="E43" i="22" s="1"/>
  <c r="E44" i="22" s="1"/>
  <c r="E45" i="22" s="1"/>
  <c r="E46" i="22" s="1"/>
  <c r="E47" i="22" s="1"/>
  <c r="E48" i="22" s="1"/>
  <c r="E49" i="22" s="1"/>
  <c r="E50" i="22" s="1"/>
  <c r="E51" i="22" s="1"/>
  <c r="E52" i="22" s="1"/>
  <c r="E53" i="22" s="1"/>
  <c r="E54" i="22" s="1"/>
  <c r="B65" i="22"/>
  <c r="F12" i="20"/>
  <c r="B100" i="22" s="1"/>
  <c r="C5" i="22"/>
  <c r="C33" i="22"/>
  <c r="C34" i="22" s="1"/>
  <c r="C35" i="22" s="1"/>
  <c r="C36" i="22" s="1"/>
  <c r="C37" i="22" s="1"/>
  <c r="C38" i="22" s="1"/>
  <c r="C39" i="22" s="1"/>
  <c r="C40" i="22" s="1"/>
  <c r="C41" i="22" s="1"/>
  <c r="C42" i="22" s="1"/>
  <c r="C43" i="22" s="1"/>
  <c r="C44" i="22" s="1"/>
  <c r="C45" i="22" s="1"/>
  <c r="C46" i="22" s="1"/>
  <c r="C47" i="22" s="1"/>
  <c r="C48" i="22" s="1"/>
  <c r="C49" i="22" s="1"/>
  <c r="C50" i="22" s="1"/>
  <c r="C51" i="22" s="1"/>
  <c r="C52" i="22" s="1"/>
  <c r="C53" i="22" s="1"/>
  <c r="C54" i="22" s="1"/>
  <c r="C55" i="22" s="1"/>
  <c r="C56" i="22" s="1"/>
  <c r="C57" i="22" s="1"/>
  <c r="F23" i="20"/>
  <c r="B111" i="22" s="1"/>
  <c r="F25" i="20"/>
  <c r="B113" i="22" s="1"/>
  <c r="F17" i="20"/>
  <c r="B105" i="22" s="1"/>
  <c r="F9" i="20"/>
  <c r="B97" i="22" s="1"/>
  <c r="B86" i="22"/>
  <c r="B78" i="22"/>
  <c r="B70" i="22"/>
  <c r="B62" i="22"/>
  <c r="F14" i="20"/>
  <c r="B102" i="22" s="1"/>
  <c r="F6" i="20"/>
  <c r="B94" i="22" s="1"/>
  <c r="C6" i="22"/>
  <c r="B68" i="22"/>
  <c r="F15" i="20"/>
  <c r="B103" i="22" s="1"/>
  <c r="F7" i="20"/>
  <c r="B95" i="22" s="1"/>
  <c r="B76" i="22"/>
  <c r="B26" i="22"/>
  <c r="B18" i="22"/>
  <c r="B10" i="22"/>
  <c r="B82" i="22"/>
  <c r="B74" i="22"/>
  <c r="B9" i="22"/>
  <c r="B81" i="22"/>
  <c r="B73" i="22"/>
  <c r="B16" i="22"/>
  <c r="B8" i="22"/>
  <c r="B80" i="22"/>
  <c r="B72" i="22"/>
  <c r="B64" i="22"/>
  <c r="B15" i="22"/>
  <c r="B7" i="22"/>
  <c r="B84" i="22"/>
  <c r="F3" i="21"/>
  <c r="F19" i="21"/>
  <c r="D107" i="22" s="1"/>
  <c r="F11" i="21"/>
  <c r="D99" i="22" s="1"/>
  <c r="F6" i="21"/>
  <c r="D94" i="22" s="1"/>
  <c r="F17" i="21"/>
  <c r="D105" i="22" s="1"/>
  <c r="F24" i="21"/>
  <c r="D112" i="22" s="1"/>
  <c r="F10" i="21"/>
  <c r="D98" i="22" s="1"/>
  <c r="F21" i="21"/>
  <c r="D109" i="22" s="1"/>
  <c r="F14" i="21"/>
  <c r="D102" i="22" s="1"/>
  <c r="F25" i="21"/>
  <c r="D113" i="22" s="1"/>
  <c r="F4" i="21"/>
  <c r="D92" i="22" s="1"/>
  <c r="F18" i="21"/>
  <c r="D106" i="22" s="1"/>
  <c r="F22" i="21"/>
  <c r="D110" i="22" s="1"/>
  <c r="F5" i="21"/>
  <c r="D93" i="22" s="1"/>
  <c r="F26" i="21"/>
  <c r="D114" i="22" s="1"/>
  <c r="F9" i="21"/>
  <c r="D97" i="22" s="1"/>
  <c r="F16" i="21"/>
  <c r="D104" i="22" s="1"/>
  <c r="F26" i="20"/>
  <c r="B114" i="22" s="1"/>
  <c r="F4" i="20"/>
  <c r="B92" i="22" s="1"/>
  <c r="F27" i="20"/>
  <c r="B115" i="22" s="1"/>
  <c r="F3" i="20"/>
  <c r="F22" i="20"/>
  <c r="B110" i="22" s="1"/>
  <c r="F24" i="20"/>
  <c r="B112" i="22" s="1"/>
  <c r="F16" i="20"/>
  <c r="B104" i="22" s="1"/>
  <c r="F21" i="20"/>
  <c r="B109" i="22" s="1"/>
  <c r="F13" i="20"/>
  <c r="B101" i="22" s="1"/>
  <c r="F5" i="20"/>
  <c r="B93" i="22" s="1"/>
  <c r="F20" i="20"/>
  <c r="B108" i="22" s="1"/>
  <c r="F19" i="20"/>
  <c r="B107" i="22" s="1"/>
  <c r="F11" i="20"/>
  <c r="B99" i="22" s="1"/>
  <c r="F18" i="20"/>
  <c r="B106" i="22" s="1"/>
  <c r="F10" i="20"/>
  <c r="B98" i="22" s="1"/>
  <c r="K5" i="15"/>
  <c r="K6" i="15" s="1"/>
  <c r="K7" i="15" s="1"/>
  <c r="K8" i="15" s="1"/>
  <c r="K9" i="15" s="1"/>
  <c r="K10" i="15" s="1"/>
  <c r="K11" i="15" s="1"/>
  <c r="K12" i="15" s="1"/>
  <c r="K13" i="15" s="1"/>
  <c r="K14" i="15" s="1"/>
  <c r="K15" i="15" s="1"/>
  <c r="K16" i="15" s="1"/>
  <c r="K17" i="15" s="1"/>
  <c r="K18" i="15" s="1"/>
  <c r="K19" i="15" s="1"/>
  <c r="K20" i="15" s="1"/>
  <c r="K21" i="15" s="1"/>
  <c r="K22" i="15" s="1"/>
  <c r="K23" i="15" s="1"/>
  <c r="K24" i="15" s="1"/>
  <c r="K25" i="15" s="1"/>
  <c r="K26" i="15" s="1"/>
  <c r="K27" i="15" s="1"/>
  <c r="K28" i="15" s="1"/>
  <c r="N28" i="15" s="1"/>
  <c r="S6" i="15"/>
  <c r="X5" i="4"/>
  <c r="X6" i="4" s="1"/>
  <c r="Z6" i="4" s="1"/>
  <c r="L29" i="4"/>
  <c r="Y19" i="4"/>
  <c r="Y8" i="4"/>
  <c r="Y6" i="4"/>
  <c r="Y9" i="4"/>
  <c r="Y21" i="4"/>
  <c r="V7" i="4"/>
  <c r="V8" i="4" s="1"/>
  <c r="V9" i="4" s="1"/>
  <c r="V10" i="4" s="1"/>
  <c r="V11" i="4" s="1"/>
  <c r="V12" i="4" s="1"/>
  <c r="V13" i="4" s="1"/>
  <c r="V14" i="4" s="1"/>
  <c r="V15" i="4" s="1"/>
  <c r="V16" i="4" s="1"/>
  <c r="V17" i="4" s="1"/>
  <c r="V18" i="4" s="1"/>
  <c r="V19" i="4" s="1"/>
  <c r="V20" i="4" s="1"/>
  <c r="V21" i="4" s="1"/>
  <c r="V22" i="4" s="1"/>
  <c r="V23" i="4" s="1"/>
  <c r="V24" i="4" s="1"/>
  <c r="V25" i="4" s="1"/>
  <c r="V26" i="4" s="1"/>
  <c r="V27" i="4" s="1"/>
  <c r="V28" i="4" s="1"/>
  <c r="U29" i="4"/>
  <c r="Y26" i="4"/>
  <c r="Y16" i="4"/>
  <c r="Y13" i="4"/>
  <c r="Y10" i="4"/>
  <c r="Y17" i="4"/>
  <c r="Y24" i="4"/>
  <c r="T29" i="4"/>
  <c r="Y22" i="4"/>
  <c r="I4" i="5"/>
  <c r="S6" i="5"/>
  <c r="Q30" i="26"/>
  <c r="S16" i="33"/>
  <c r="S17" i="33"/>
  <c r="S19" i="33"/>
  <c r="S15" i="33"/>
  <c r="P29" i="4"/>
  <c r="X7" i="4"/>
  <c r="H33" i="3"/>
  <c r="S5" i="15"/>
  <c r="N30" i="15"/>
  <c r="S30" i="5"/>
  <c r="I5" i="5"/>
  <c r="M21" i="5"/>
  <c r="N21" i="5" s="1"/>
  <c r="N20" i="5"/>
  <c r="N19" i="5"/>
  <c r="N18" i="5"/>
  <c r="N14" i="5"/>
  <c r="N12" i="5"/>
  <c r="N11" i="5"/>
  <c r="N13" i="5"/>
  <c r="N10" i="5"/>
  <c r="N17" i="5"/>
  <c r="N9" i="5"/>
  <c r="N16" i="5"/>
  <c r="N8" i="5"/>
  <c r="N15" i="5"/>
  <c r="N4" i="5"/>
  <c r="Q4" i="26"/>
  <c r="S20" i="33"/>
  <c r="S26" i="33"/>
  <c r="S12" i="33"/>
  <c r="S22" i="33"/>
  <c r="S5" i="33"/>
  <c r="S6" i="33"/>
  <c r="S9" i="33"/>
  <c r="S8" i="33"/>
  <c r="S18" i="33"/>
  <c r="S13" i="33"/>
  <c r="S11" i="33"/>
  <c r="S10" i="33"/>
  <c r="M6" i="15"/>
  <c r="I5" i="15"/>
  <c r="R7" i="5"/>
  <c r="S7" i="5" s="1"/>
  <c r="S5" i="5"/>
  <c r="R7" i="15"/>
  <c r="S7" i="15" s="1"/>
  <c r="H7" i="15"/>
  <c r="I6" i="15"/>
  <c r="N6" i="5"/>
  <c r="N5" i="5"/>
  <c r="H6" i="5"/>
  <c r="I6" i="5" s="1"/>
  <c r="M7" i="34"/>
  <c r="H11" i="27"/>
  <c r="H12" i="27" s="1"/>
  <c r="H13" i="27" s="1"/>
  <c r="H14" i="27" s="1"/>
  <c r="H15" i="27" s="1"/>
  <c r="H16" i="27" s="1"/>
  <c r="H17" i="27" s="1"/>
  <c r="H18" i="27" s="1"/>
  <c r="H19" i="27" s="1"/>
  <c r="H20" i="27" s="1"/>
  <c r="H21" i="27" s="1"/>
  <c r="H22" i="27" s="1"/>
  <c r="H23" i="27" s="1"/>
  <c r="H24" i="27" s="1"/>
  <c r="H25" i="27" s="1"/>
  <c r="H26" i="27" s="1"/>
  <c r="H27" i="27" s="1"/>
  <c r="H28" i="27" s="1"/>
  <c r="H31" i="27" s="1"/>
  <c r="B91" i="22" l="1"/>
  <c r="C91" i="22" s="1"/>
  <c r="C92" i="22" s="1"/>
  <c r="C93" i="22" s="1"/>
  <c r="C94" i="22" s="1"/>
  <c r="C95" i="22" s="1"/>
  <c r="C96" i="22" s="1"/>
  <c r="C97" i="22" s="1"/>
  <c r="C98" i="22" s="1"/>
  <c r="C99" i="22" s="1"/>
  <c r="C100" i="22" s="1"/>
  <c r="C101" i="22" s="1"/>
  <c r="C102" i="22" s="1"/>
  <c r="C103" i="22" s="1"/>
  <c r="C104" i="22" s="1"/>
  <c r="C105" i="22" s="1"/>
  <c r="C106" i="22" s="1"/>
  <c r="C107" i="22" s="1"/>
  <c r="C108" i="22" s="1"/>
  <c r="C109" i="22" s="1"/>
  <c r="C110" i="22" s="1"/>
  <c r="C111" i="22" s="1"/>
  <c r="C112" i="22" s="1"/>
  <c r="C113" i="22" s="1"/>
  <c r="C114" i="22" s="1"/>
  <c r="C115" i="22" s="1"/>
  <c r="F29" i="20"/>
  <c r="D91" i="22"/>
  <c r="E91" i="22" s="1"/>
  <c r="F29" i="21"/>
  <c r="E68" i="22"/>
  <c r="E69" i="22" s="1"/>
  <c r="E70" i="22" s="1"/>
  <c r="E71" i="22" s="1"/>
  <c r="E72" i="22" s="1"/>
  <c r="E73" i="22" s="1"/>
  <c r="E74" i="22" s="1"/>
  <c r="E75" i="22" s="1"/>
  <c r="E76" i="22" s="1"/>
  <c r="E77" i="22" s="1"/>
  <c r="E78" i="22" s="1"/>
  <c r="E79" i="22" s="1"/>
  <c r="E80" i="22" s="1"/>
  <c r="E81" i="22" s="1"/>
  <c r="E82" i="22" s="1"/>
  <c r="E83" i="22" s="1"/>
  <c r="E84" i="22" s="1"/>
  <c r="E85" i="22" s="1"/>
  <c r="E86" i="22" s="1"/>
  <c r="C62" i="22"/>
  <c r="C63" i="22" s="1"/>
  <c r="C64" i="22" s="1"/>
  <c r="C65" i="22" s="1"/>
  <c r="C66" i="22" s="1"/>
  <c r="C67" i="22" s="1"/>
  <c r="C68" i="22" s="1"/>
  <c r="C69" i="22" s="1"/>
  <c r="C70" i="22" s="1"/>
  <c r="C71" i="22" s="1"/>
  <c r="C72" i="22" s="1"/>
  <c r="C73" i="22" s="1"/>
  <c r="C74" i="22" s="1"/>
  <c r="C75" i="22" s="1"/>
  <c r="C76" i="22" s="1"/>
  <c r="C77" i="22" s="1"/>
  <c r="C78" i="22" s="1"/>
  <c r="C79" i="22" s="1"/>
  <c r="C80" i="22" s="1"/>
  <c r="C81" i="22" s="1"/>
  <c r="C82" i="22" s="1"/>
  <c r="C83" i="22" s="1"/>
  <c r="C84" i="22" s="1"/>
  <c r="C85" i="22" s="1"/>
  <c r="C86" i="22" s="1"/>
  <c r="E92" i="22"/>
  <c r="E93" i="22" s="1"/>
  <c r="E94" i="22" s="1"/>
  <c r="E95" i="22" s="1"/>
  <c r="E96" i="22" s="1"/>
  <c r="E97" i="22" s="1"/>
  <c r="E98" i="22" s="1"/>
  <c r="E99" i="22" s="1"/>
  <c r="E100" i="22" s="1"/>
  <c r="E101" i="22" s="1"/>
  <c r="E102" i="22" s="1"/>
  <c r="E103" i="22" s="1"/>
  <c r="E104" i="22" s="1"/>
  <c r="E105" i="22" s="1"/>
  <c r="E106" i="22" s="1"/>
  <c r="E107" i="22" s="1"/>
  <c r="E108" i="22" s="1"/>
  <c r="E109" i="22" s="1"/>
  <c r="E110" i="22" s="1"/>
  <c r="E111" i="22" s="1"/>
  <c r="E112" i="22" s="1"/>
  <c r="E113" i="22" s="1"/>
  <c r="E114" i="22" s="1"/>
  <c r="E115" i="22" s="1"/>
  <c r="E116" i="22" s="1"/>
  <c r="E55" i="22"/>
  <c r="E56" i="22" s="1"/>
  <c r="E57" i="22" s="1"/>
  <c r="F57" i="22" s="1"/>
  <c r="E9" i="22"/>
  <c r="E10" i="22" s="1"/>
  <c r="E11" i="22" s="1"/>
  <c r="E12" i="22" s="1"/>
  <c r="E13" i="22" s="1"/>
  <c r="E14" i="22" s="1"/>
  <c r="E15" i="22" s="1"/>
  <c r="E16" i="22" s="1"/>
  <c r="E17" i="22" s="1"/>
  <c r="E18" i="22" s="1"/>
  <c r="E19" i="22" s="1"/>
  <c r="E20" i="22" s="1"/>
  <c r="E21" i="22" s="1"/>
  <c r="E22" i="22" s="1"/>
  <c r="E23" i="22" s="1"/>
  <c r="E24" i="22" s="1"/>
  <c r="E25" i="22" s="1"/>
  <c r="E26" i="22" s="1"/>
  <c r="E27" i="22" s="1"/>
  <c r="E28" i="22" s="1"/>
  <c r="E29" i="22" s="1"/>
  <c r="C7" i="22"/>
  <c r="C8" i="22" s="1"/>
  <c r="C9" i="22" s="1"/>
  <c r="C10" i="22" s="1"/>
  <c r="C11" i="22" s="1"/>
  <c r="C12" i="22" s="1"/>
  <c r="C13" i="22" s="1"/>
  <c r="C14" i="22" s="1"/>
  <c r="C15" i="22" s="1"/>
  <c r="C16" i="22" s="1"/>
  <c r="C17" i="22" s="1"/>
  <c r="C18" i="22" s="1"/>
  <c r="C19" i="22" s="1"/>
  <c r="C20" i="22" s="1"/>
  <c r="C21" i="22" s="1"/>
  <c r="C22" i="22" s="1"/>
  <c r="C23" i="22" s="1"/>
  <c r="C24" i="22" s="1"/>
  <c r="C25" i="22" s="1"/>
  <c r="C26" i="22" s="1"/>
  <c r="C27" i="22" s="1"/>
  <c r="C28" i="22" s="1"/>
  <c r="C29" i="22" s="1"/>
  <c r="N5" i="15"/>
  <c r="Z5" i="4"/>
  <c r="Z7" i="4"/>
  <c r="X8" i="4"/>
  <c r="M7" i="15"/>
  <c r="N6" i="15"/>
  <c r="M22" i="5"/>
  <c r="N22" i="5" s="1"/>
  <c r="R8" i="5"/>
  <c r="R8" i="15"/>
  <c r="H8" i="15"/>
  <c r="H9" i="15" s="1"/>
  <c r="I7" i="15"/>
  <c r="H7" i="5"/>
  <c r="I7" i="5" s="1"/>
  <c r="N7" i="5"/>
  <c r="M8" i="34"/>
  <c r="M9" i="34" s="1"/>
  <c r="Z8" i="4" l="1"/>
  <c r="X9" i="4"/>
  <c r="R9" i="15"/>
  <c r="S9" i="15" s="1"/>
  <c r="S8" i="15"/>
  <c r="N7" i="15"/>
  <c r="M8" i="15"/>
  <c r="R9" i="5"/>
  <c r="S9" i="5" s="1"/>
  <c r="S8" i="5"/>
  <c r="M23" i="5"/>
  <c r="H10" i="15"/>
  <c r="I9" i="15"/>
  <c r="H8" i="5"/>
  <c r="M10" i="34"/>
  <c r="R10" i="15" l="1"/>
  <c r="S10" i="15" s="1"/>
  <c r="X10" i="4"/>
  <c r="Z9" i="4"/>
  <c r="M9" i="15"/>
  <c r="N8" i="15"/>
  <c r="R10" i="5"/>
  <c r="S10" i="5" s="1"/>
  <c r="M24" i="5"/>
  <c r="N23" i="5"/>
  <c r="H9" i="5"/>
  <c r="I9" i="5" s="1"/>
  <c r="I8" i="5"/>
  <c r="H11" i="15"/>
  <c r="I10" i="15"/>
  <c r="M11" i="34"/>
  <c r="R11" i="15" l="1"/>
  <c r="S11" i="15" s="1"/>
  <c r="Z10" i="4"/>
  <c r="X11" i="4"/>
  <c r="N9" i="15"/>
  <c r="M10" i="15"/>
  <c r="R11" i="5"/>
  <c r="S11" i="5" s="1"/>
  <c r="M25" i="5"/>
  <c r="N24" i="5"/>
  <c r="H10" i="5"/>
  <c r="I10" i="5" s="1"/>
  <c r="R12" i="15"/>
  <c r="S12" i="15" s="1"/>
  <c r="H12" i="15"/>
  <c r="I11" i="15"/>
  <c r="M12" i="34"/>
  <c r="Z11" i="4" l="1"/>
  <c r="X12" i="4"/>
  <c r="N10" i="15"/>
  <c r="M11" i="15"/>
  <c r="R12" i="5"/>
  <c r="S12" i="5" s="1"/>
  <c r="M26" i="5"/>
  <c r="N25" i="5"/>
  <c r="H11" i="5"/>
  <c r="I11" i="5" s="1"/>
  <c r="R13" i="15"/>
  <c r="S13" i="15" s="1"/>
  <c r="H13" i="15"/>
  <c r="I12" i="15"/>
  <c r="M13" i="34"/>
  <c r="X13" i="4" l="1"/>
  <c r="Z12" i="4"/>
  <c r="N11" i="15"/>
  <c r="M12" i="15"/>
  <c r="R13" i="5"/>
  <c r="S13" i="5" s="1"/>
  <c r="N26" i="5"/>
  <c r="H12" i="5"/>
  <c r="I12" i="5" s="1"/>
  <c r="R14" i="15"/>
  <c r="S14" i="15" s="1"/>
  <c r="H14" i="15"/>
  <c r="I13" i="15"/>
  <c r="M14" i="34"/>
  <c r="X14" i="4" l="1"/>
  <c r="Z13" i="4"/>
  <c r="N12" i="15"/>
  <c r="M13" i="15"/>
  <c r="R14" i="5"/>
  <c r="S14" i="5" s="1"/>
  <c r="H13" i="5"/>
  <c r="I13" i="5" s="1"/>
  <c r="R15" i="15"/>
  <c r="S15" i="15" s="1"/>
  <c r="H15" i="15"/>
  <c r="I14" i="15"/>
  <c r="M15" i="34"/>
  <c r="X15" i="4" l="1"/>
  <c r="Z14" i="4"/>
  <c r="N13" i="15"/>
  <c r="M14" i="15"/>
  <c r="R15" i="5"/>
  <c r="S15" i="5" s="1"/>
  <c r="H14" i="5"/>
  <c r="I14" i="5" s="1"/>
  <c r="R16" i="15"/>
  <c r="S16" i="15" s="1"/>
  <c r="I15" i="15"/>
  <c r="H16" i="15"/>
  <c r="M16" i="34"/>
  <c r="Z15" i="4" l="1"/>
  <c r="X16" i="4"/>
  <c r="N14" i="15"/>
  <c r="M15" i="15"/>
  <c r="R16" i="5"/>
  <c r="S16" i="5" s="1"/>
  <c r="H15" i="5"/>
  <c r="I15" i="5" s="1"/>
  <c r="R17" i="15"/>
  <c r="S17" i="15" s="1"/>
  <c r="H17" i="15"/>
  <c r="I16" i="15"/>
  <c r="M17" i="34"/>
  <c r="X17" i="4" l="1"/>
  <c r="Z16" i="4"/>
  <c r="N15" i="15"/>
  <c r="M16" i="15"/>
  <c r="R17" i="5"/>
  <c r="S17" i="5" s="1"/>
  <c r="H16" i="5"/>
  <c r="I16" i="5" s="1"/>
  <c r="R18" i="15"/>
  <c r="S18" i="15" s="1"/>
  <c r="H18" i="15"/>
  <c r="I17" i="15"/>
  <c r="M18" i="34"/>
  <c r="X18" i="4" l="1"/>
  <c r="Z17" i="4"/>
  <c r="N16" i="15"/>
  <c r="M17" i="15"/>
  <c r="R18" i="5"/>
  <c r="S18" i="5" s="1"/>
  <c r="H17" i="5"/>
  <c r="I17" i="5" s="1"/>
  <c r="R19" i="15"/>
  <c r="S19" i="15" s="1"/>
  <c r="H19" i="15"/>
  <c r="I18" i="15"/>
  <c r="M19" i="34"/>
  <c r="H18" i="5" l="1"/>
  <c r="I18" i="5" s="1"/>
  <c r="Z18" i="4"/>
  <c r="X19" i="4"/>
  <c r="N17" i="15"/>
  <c r="M18" i="15"/>
  <c r="R19" i="5"/>
  <c r="S19" i="5" s="1"/>
  <c r="R20" i="15"/>
  <c r="S20" i="15" s="1"/>
  <c r="H20" i="15"/>
  <c r="I19" i="15"/>
  <c r="M20" i="34"/>
  <c r="H19" i="5" l="1"/>
  <c r="I19" i="5" s="1"/>
  <c r="Z19" i="4"/>
  <c r="X20" i="4"/>
  <c r="N18" i="15"/>
  <c r="M19" i="15"/>
  <c r="R20" i="5"/>
  <c r="S20" i="5" s="1"/>
  <c r="R21" i="15"/>
  <c r="S21" i="15" s="1"/>
  <c r="H21" i="15"/>
  <c r="I20" i="15"/>
  <c r="M21" i="34"/>
  <c r="H20" i="5" l="1"/>
  <c r="I20" i="5" s="1"/>
  <c r="X21" i="4"/>
  <c r="Z20" i="4"/>
  <c r="N19" i="15"/>
  <c r="M20" i="15"/>
  <c r="R21" i="5"/>
  <c r="S21" i="5" s="1"/>
  <c r="R22" i="15"/>
  <c r="S22" i="15" s="1"/>
  <c r="H22" i="15"/>
  <c r="I21" i="15"/>
  <c r="H21" i="5"/>
  <c r="I21" i="5" s="1"/>
  <c r="M22" i="34"/>
  <c r="X22" i="4" l="1"/>
  <c r="Z21" i="4"/>
  <c r="N20" i="15"/>
  <c r="M21" i="15"/>
  <c r="N21" i="15" s="1"/>
  <c r="R22" i="5"/>
  <c r="S22" i="5" s="1"/>
  <c r="R23" i="15"/>
  <c r="S23" i="15" s="1"/>
  <c r="H23" i="15"/>
  <c r="I22" i="15"/>
  <c r="H22" i="5"/>
  <c r="I22" i="5" s="1"/>
  <c r="M23" i="34"/>
  <c r="M30" i="34" s="1"/>
  <c r="Z22" i="4" l="1"/>
  <c r="X23" i="4"/>
  <c r="M22" i="15"/>
  <c r="R23" i="5"/>
  <c r="S23" i="5" s="1"/>
  <c r="R24" i="15"/>
  <c r="S24" i="15" s="1"/>
  <c r="H24" i="15"/>
  <c r="I23" i="15"/>
  <c r="H23" i="5"/>
  <c r="I23" i="5" s="1"/>
  <c r="Z23" i="4" l="1"/>
  <c r="X24" i="4"/>
  <c r="N22" i="15"/>
  <c r="M23" i="15"/>
  <c r="R24" i="5"/>
  <c r="S24" i="5" s="1"/>
  <c r="R25" i="15"/>
  <c r="S25" i="15" s="1"/>
  <c r="H25" i="15"/>
  <c r="I24" i="15"/>
  <c r="H24" i="5"/>
  <c r="I24" i="5" s="1"/>
  <c r="X25" i="4" l="1"/>
  <c r="Z24" i="4"/>
  <c r="N23" i="15"/>
  <c r="M24" i="15"/>
  <c r="R25" i="5"/>
  <c r="S25" i="5" s="1"/>
  <c r="R26" i="15"/>
  <c r="S26" i="15" s="1"/>
  <c r="H26" i="15"/>
  <c r="I25" i="15"/>
  <c r="H25" i="5"/>
  <c r="I25" i="5" l="1"/>
  <c r="H26" i="5"/>
  <c r="X26" i="4"/>
  <c r="Z25" i="4"/>
  <c r="N24" i="15"/>
  <c r="M25" i="15"/>
  <c r="R27" i="15"/>
  <c r="S27" i="15" s="1"/>
  <c r="I26" i="15"/>
  <c r="H27" i="15"/>
  <c r="I27" i="15" s="1"/>
  <c r="I30" i="5" l="1"/>
  <c r="I26" i="5"/>
  <c r="Z26" i="4"/>
  <c r="X27" i="4"/>
  <c r="N25" i="15"/>
  <c r="M26" i="15"/>
  <c r="I8" i="15"/>
  <c r="Z27" i="4" l="1"/>
  <c r="X28" i="4"/>
  <c r="N26" i="15"/>
  <c r="M27" i="15"/>
  <c r="N27" i="15" s="1"/>
  <c r="I4" i="34"/>
  <c r="H5" i="34"/>
  <c r="N5" i="32"/>
  <c r="N6" i="32" s="1"/>
  <c r="N7" i="32" s="1"/>
  <c r="N8" i="32" s="1"/>
  <c r="N9" i="32" s="1"/>
  <c r="N10" i="32" s="1"/>
  <c r="N11" i="32" s="1"/>
  <c r="N12" i="32" s="1"/>
  <c r="N13" i="32" s="1"/>
  <c r="N14" i="32" s="1"/>
  <c r="N15" i="32" s="1"/>
  <c r="N16" i="32" s="1"/>
  <c r="N17" i="32" s="1"/>
  <c r="N18" i="32" s="1"/>
  <c r="N19" i="32" s="1"/>
  <c r="N20" i="32" s="1"/>
  <c r="N21" i="32" s="1"/>
  <c r="N22" i="32" s="1"/>
  <c r="N23" i="32" s="1"/>
  <c r="N24" i="32" s="1"/>
  <c r="N25" i="32" s="1"/>
  <c r="N26" i="32" s="1"/>
  <c r="N27" i="32" s="1"/>
  <c r="N28" i="32" s="1"/>
  <c r="N29" i="32" s="1"/>
  <c r="Z28" i="4" l="1"/>
  <c r="X29" i="4"/>
  <c r="I5" i="34"/>
  <c r="H6" i="34"/>
  <c r="H7" i="34" l="1"/>
  <c r="I6" i="34"/>
  <c r="I7" i="34" l="1"/>
  <c r="H8" i="34"/>
  <c r="I8" i="34" s="1"/>
  <c r="H9" i="34" l="1"/>
  <c r="I9" i="34" l="1"/>
  <c r="H10" i="34"/>
  <c r="H11" i="34" s="1"/>
  <c r="I11" i="34" s="1"/>
  <c r="I10" i="34" l="1"/>
  <c r="H12" i="34"/>
  <c r="T4" i="33"/>
  <c r="P5" i="33"/>
  <c r="P6" i="33" s="1"/>
  <c r="P7" i="33" s="1"/>
  <c r="P8" i="33" s="1"/>
  <c r="P9" i="33" s="1"/>
  <c r="P10" i="33" s="1"/>
  <c r="P11" i="33" s="1"/>
  <c r="P12" i="33" s="1"/>
  <c r="P13" i="33" s="1"/>
  <c r="P14" i="33" s="1"/>
  <c r="P15" i="33" s="1"/>
  <c r="P16" i="33" s="1"/>
  <c r="P17" i="33" s="1"/>
  <c r="P18" i="33" s="1"/>
  <c r="P19" i="33" s="1"/>
  <c r="P20" i="33" s="1"/>
  <c r="P21" i="33" s="1"/>
  <c r="P22" i="33" s="1"/>
  <c r="P23" i="33" s="1"/>
  <c r="P24" i="33" s="1"/>
  <c r="P25" i="33" s="1"/>
  <c r="P26" i="33" s="1"/>
  <c r="P27" i="33" s="1"/>
  <c r="N4" i="33"/>
  <c r="N5" i="33" s="1"/>
  <c r="N6" i="33" s="1"/>
  <c r="N7" i="33" s="1"/>
  <c r="N8" i="33" s="1"/>
  <c r="N9" i="33" s="1"/>
  <c r="N10" i="33" s="1"/>
  <c r="N11" i="33" s="1"/>
  <c r="N12" i="33" s="1"/>
  <c r="N13" i="33" s="1"/>
  <c r="N14" i="33" s="1"/>
  <c r="N15" i="33" s="1"/>
  <c r="N16" i="33" s="1"/>
  <c r="N17" i="33" s="1"/>
  <c r="N18" i="33" s="1"/>
  <c r="N19" i="33" s="1"/>
  <c r="N20" i="33" s="1"/>
  <c r="N21" i="33" s="1"/>
  <c r="N22" i="33" s="1"/>
  <c r="N23" i="33" s="1"/>
  <c r="N24" i="33" s="1"/>
  <c r="N25" i="33" s="1"/>
  <c r="N26" i="33" s="1"/>
  <c r="N27" i="33" s="1"/>
  <c r="L4" i="33"/>
  <c r="L5" i="33" s="1"/>
  <c r="J4" i="33"/>
  <c r="J5" i="33" s="1"/>
  <c r="H4" i="33"/>
  <c r="H5" i="33" s="1"/>
  <c r="H6" i="33" s="1"/>
  <c r="H7" i="33" s="1"/>
  <c r="H8" i="33" s="1"/>
  <c r="H9" i="33" s="1"/>
  <c r="H10" i="33" s="1"/>
  <c r="H11" i="33" s="1"/>
  <c r="H12" i="33" s="1"/>
  <c r="H13" i="33" s="1"/>
  <c r="H14" i="33" s="1"/>
  <c r="H15" i="33" s="1"/>
  <c r="H16" i="33" s="1"/>
  <c r="H17" i="33" s="1"/>
  <c r="H18" i="33" s="1"/>
  <c r="H19" i="33" s="1"/>
  <c r="H20" i="33" s="1"/>
  <c r="H21" i="33" s="1"/>
  <c r="H22" i="33" s="1"/>
  <c r="H23" i="33" s="1"/>
  <c r="H24" i="33" s="1"/>
  <c r="H25" i="33" s="1"/>
  <c r="H26" i="33" s="1"/>
  <c r="H27" i="33" s="1"/>
  <c r="F5" i="33"/>
  <c r="I12" i="34" l="1"/>
  <c r="F6" i="33"/>
  <c r="F7" i="33" s="1"/>
  <c r="F8" i="33" s="1"/>
  <c r="F9" i="33" s="1"/>
  <c r="F10" i="33" s="1"/>
  <c r="F11" i="33" s="1"/>
  <c r="H13" i="34"/>
  <c r="J6" i="33"/>
  <c r="L6" i="33"/>
  <c r="R4" i="33"/>
  <c r="R5" i="33" s="1"/>
  <c r="R6" i="33" s="1"/>
  <c r="R7" i="33" s="1"/>
  <c r="R8" i="33" s="1"/>
  <c r="R9" i="33" s="1"/>
  <c r="R10" i="33" s="1"/>
  <c r="R11" i="33" s="1"/>
  <c r="R12" i="33" s="1"/>
  <c r="R13" i="33" s="1"/>
  <c r="R14" i="33" s="1"/>
  <c r="R15" i="33" s="1"/>
  <c r="R16" i="33" s="1"/>
  <c r="R17" i="33" s="1"/>
  <c r="R18" i="33" s="1"/>
  <c r="R19" i="33" s="1"/>
  <c r="R20" i="33" s="1"/>
  <c r="R21" i="33" s="1"/>
  <c r="R22" i="33" s="1"/>
  <c r="T5" i="33"/>
  <c r="R23" i="33" l="1"/>
  <c r="R24" i="33" s="1"/>
  <c r="R25" i="33" s="1"/>
  <c r="R26" i="33" s="1"/>
  <c r="I13" i="34"/>
  <c r="F12" i="33"/>
  <c r="F13" i="33" s="1"/>
  <c r="F14" i="33" s="1"/>
  <c r="F15" i="33" s="1"/>
  <c r="F16" i="33" s="1"/>
  <c r="F17" i="33" s="1"/>
  <c r="F18" i="33" s="1"/>
  <c r="F19" i="33" s="1"/>
  <c r="F20" i="33" s="1"/>
  <c r="F21" i="33" s="1"/>
  <c r="F22" i="33" s="1"/>
  <c r="F23" i="33" s="1"/>
  <c r="F24" i="33" s="1"/>
  <c r="F25" i="33" s="1"/>
  <c r="F26" i="33" s="1"/>
  <c r="F27" i="33" s="1"/>
  <c r="U4" i="33"/>
  <c r="H14" i="34"/>
  <c r="J7" i="33"/>
  <c r="U5" i="33"/>
  <c r="T6" i="33"/>
  <c r="L7" i="33"/>
  <c r="R27" i="33" l="1"/>
  <c r="I14" i="34"/>
  <c r="H15" i="34"/>
  <c r="U6" i="33"/>
  <c r="T7" i="33"/>
  <c r="L8" i="33"/>
  <c r="J8" i="33"/>
  <c r="I15" i="34" l="1"/>
  <c r="H16" i="34"/>
  <c r="J9" i="33"/>
  <c r="L9" i="33"/>
  <c r="U7" i="33"/>
  <c r="T8" i="33"/>
  <c r="I16" i="34" l="1"/>
  <c r="H17" i="34"/>
  <c r="U8" i="33"/>
  <c r="T9" i="33"/>
  <c r="L10" i="33"/>
  <c r="J10" i="33"/>
  <c r="I17" i="34" l="1"/>
  <c r="H18" i="34"/>
  <c r="I18" i="34" s="1"/>
  <c r="T10" i="33"/>
  <c r="U9" i="33"/>
  <c r="J11" i="33"/>
  <c r="L11" i="33"/>
  <c r="H19" i="34" l="1"/>
  <c r="U10" i="33"/>
  <c r="T11" i="33"/>
  <c r="L12" i="33"/>
  <c r="J12" i="33"/>
  <c r="I19" i="34" l="1"/>
  <c r="H20" i="34"/>
  <c r="J13" i="33"/>
  <c r="L13" i="33"/>
  <c r="T12" i="33"/>
  <c r="U11" i="33"/>
  <c r="I20" i="34" l="1"/>
  <c r="H21" i="34"/>
  <c r="U12" i="33"/>
  <c r="T13" i="33"/>
  <c r="L14" i="33"/>
  <c r="J14" i="33"/>
  <c r="I21" i="34" l="1"/>
  <c r="H22" i="34"/>
  <c r="T14" i="33"/>
  <c r="U13" i="33"/>
  <c r="J15" i="33"/>
  <c r="L15" i="33"/>
  <c r="I22" i="34" l="1"/>
  <c r="H23" i="34"/>
  <c r="H30" i="34" s="1"/>
  <c r="J16" i="33"/>
  <c r="L16" i="33"/>
  <c r="U14" i="33"/>
  <c r="T15" i="33"/>
  <c r="I23" i="34" l="1"/>
  <c r="T16" i="33"/>
  <c r="U15" i="33"/>
  <c r="L17" i="33"/>
  <c r="J17" i="33"/>
  <c r="U16" i="33" l="1"/>
  <c r="T17" i="33"/>
  <c r="J18" i="33"/>
  <c r="L18" i="33"/>
  <c r="L19" i="33" l="1"/>
  <c r="J19" i="33"/>
  <c r="T18" i="33"/>
  <c r="U17" i="33"/>
  <c r="U18" i="33" l="1"/>
  <c r="T19" i="33"/>
  <c r="J20" i="33"/>
  <c r="L20" i="33"/>
  <c r="L21" i="33" l="1"/>
  <c r="J21" i="33"/>
  <c r="T20" i="33"/>
  <c r="U19" i="33"/>
  <c r="U20" i="33" l="1"/>
  <c r="T21" i="33"/>
  <c r="J22" i="33"/>
  <c r="L22" i="33"/>
  <c r="L23" i="33" l="1"/>
  <c r="J23" i="33"/>
  <c r="T22" i="33"/>
  <c r="U22" i="33" s="1"/>
  <c r="U21" i="33"/>
  <c r="T23" i="33" l="1"/>
  <c r="J24" i="33"/>
  <c r="L24" i="33"/>
  <c r="J25" i="33" l="1"/>
  <c r="L25" i="33"/>
  <c r="T24" i="33"/>
  <c r="U23" i="33"/>
  <c r="U24" i="33" l="1"/>
  <c r="T25" i="33"/>
  <c r="L26" i="33"/>
  <c r="L27" i="33" s="1"/>
  <c r="J26" i="33"/>
  <c r="J27" i="33" s="1"/>
  <c r="T26" i="33" l="1"/>
  <c r="U25" i="33"/>
  <c r="T27" i="33" l="1"/>
  <c r="U27" i="33" s="1"/>
  <c r="U26" i="33"/>
  <c r="P8" i="32" l="1"/>
  <c r="P9" i="32" s="1"/>
  <c r="P10" i="32" s="1"/>
  <c r="P11" i="32" s="1"/>
  <c r="P12" i="32" s="1"/>
  <c r="P13" i="32" s="1"/>
  <c r="T5" i="32"/>
  <c r="P5" i="32"/>
  <c r="P6" i="32" s="1"/>
  <c r="L5" i="32"/>
  <c r="L6" i="32" s="1"/>
  <c r="L7" i="32" s="1"/>
  <c r="L8" i="32" s="1"/>
  <c r="L9" i="32" s="1"/>
  <c r="L10" i="32" s="1"/>
  <c r="L11" i="32" s="1"/>
  <c r="L12" i="32" s="1"/>
  <c r="L13" i="32" s="1"/>
  <c r="L14" i="32" s="1"/>
  <c r="L15" i="32" s="1"/>
  <c r="L16" i="32" s="1"/>
  <c r="L17" i="32" s="1"/>
  <c r="L18" i="32" s="1"/>
  <c r="L19" i="32" s="1"/>
  <c r="L20" i="32" s="1"/>
  <c r="L21" i="32" s="1"/>
  <c r="L22" i="32" s="1"/>
  <c r="L23" i="32" s="1"/>
  <c r="L24" i="32" s="1"/>
  <c r="L25" i="32" s="1"/>
  <c r="L26" i="32" s="1"/>
  <c r="L27" i="32" s="1"/>
  <c r="L28" i="32" s="1"/>
  <c r="L29" i="32" s="1"/>
  <c r="J5" i="32"/>
  <c r="J6" i="32" s="1"/>
  <c r="J7" i="32" s="1"/>
  <c r="J8" i="32" s="1"/>
  <c r="J9" i="32" s="1"/>
  <c r="J10" i="32" s="1"/>
  <c r="J11" i="32" s="1"/>
  <c r="J12" i="32" s="1"/>
  <c r="J13" i="32" s="1"/>
  <c r="J14" i="32" s="1"/>
  <c r="J15" i="32" s="1"/>
  <c r="J16" i="32" s="1"/>
  <c r="J17" i="32" s="1"/>
  <c r="J18" i="32" s="1"/>
  <c r="J19" i="32" s="1"/>
  <c r="J20" i="32" s="1"/>
  <c r="J21" i="32" s="1"/>
  <c r="J22" i="32" s="1"/>
  <c r="J23" i="32" s="1"/>
  <c r="J24" i="32" s="1"/>
  <c r="J25" i="32" s="1"/>
  <c r="H5" i="32"/>
  <c r="H6" i="32" s="1"/>
  <c r="H7" i="32" s="1"/>
  <c r="H8" i="32" s="1"/>
  <c r="H9" i="32" s="1"/>
  <c r="H10" i="32" s="1"/>
  <c r="H11" i="32" s="1"/>
  <c r="H12" i="32" s="1"/>
  <c r="H13" i="32" s="1"/>
  <c r="H14" i="32" s="1"/>
  <c r="H15" i="32" s="1"/>
  <c r="H16" i="32" s="1"/>
  <c r="H17" i="32" s="1"/>
  <c r="H18" i="32" s="1"/>
  <c r="H19" i="32" s="1"/>
  <c r="H20" i="32" s="1"/>
  <c r="H21" i="32" s="1"/>
  <c r="H22" i="32" s="1"/>
  <c r="H23" i="32" s="1"/>
  <c r="H24" i="32" s="1"/>
  <c r="H25" i="32" s="1"/>
  <c r="H26" i="32" s="1"/>
  <c r="H27" i="32" s="1"/>
  <c r="H28" i="32" s="1"/>
  <c r="H29" i="32" s="1"/>
  <c r="H31" i="32" s="1"/>
  <c r="F5" i="32"/>
  <c r="F6" i="32" s="1"/>
  <c r="F7" i="32" s="1"/>
  <c r="F8" i="32" s="1"/>
  <c r="F9" i="32" s="1"/>
  <c r="F10" i="32" s="1"/>
  <c r="F11" i="32" s="1"/>
  <c r="F12" i="32" s="1"/>
  <c r="F13" i="32" s="1"/>
  <c r="F14" i="32" s="1"/>
  <c r="F15" i="32" s="1"/>
  <c r="F16" i="32" s="1"/>
  <c r="F17" i="32" s="1"/>
  <c r="F18" i="32" s="1"/>
  <c r="F19" i="32" s="1"/>
  <c r="F20" i="32" s="1"/>
  <c r="F21" i="32" s="1"/>
  <c r="F22" i="32" s="1"/>
  <c r="F23" i="32" s="1"/>
  <c r="F24" i="32" s="1"/>
  <c r="F25" i="32" s="1"/>
  <c r="F26" i="32" s="1"/>
  <c r="F27" i="32" s="1"/>
  <c r="F28" i="32" s="1"/>
  <c r="F29" i="32" s="1"/>
  <c r="P14" i="32" l="1"/>
  <c r="P15" i="32" s="1"/>
  <c r="P16" i="32" s="1"/>
  <c r="P17" i="32" s="1"/>
  <c r="P18" i="32" s="1"/>
  <c r="P19" i="32" s="1"/>
  <c r="P20" i="32" s="1"/>
  <c r="P21" i="32" s="1"/>
  <c r="P22" i="32" s="1"/>
  <c r="P23" i="32" s="1"/>
  <c r="P24" i="32" s="1"/>
  <c r="P25" i="32" s="1"/>
  <c r="P26" i="32" s="1"/>
  <c r="T6" i="32"/>
  <c r="T7" i="32" s="1"/>
  <c r="J26" i="32"/>
  <c r="J27" i="32" s="1"/>
  <c r="J28" i="32" s="1"/>
  <c r="J29" i="32" s="1"/>
  <c r="R5" i="32"/>
  <c r="R6" i="32" s="1"/>
  <c r="R7" i="32" s="1"/>
  <c r="R8" i="32" s="1"/>
  <c r="R9" i="32" s="1"/>
  <c r="R10" i="32" s="1"/>
  <c r="R11" i="32" s="1"/>
  <c r="R12" i="32" s="1"/>
  <c r="R13" i="32" s="1"/>
  <c r="R14" i="32" s="1"/>
  <c r="R15" i="32" s="1"/>
  <c r="R16" i="32" s="1"/>
  <c r="R17" i="32" s="1"/>
  <c r="R18" i="32" s="1"/>
  <c r="R19" i="32" s="1"/>
  <c r="R20" i="32" s="1"/>
  <c r="R21" i="32" s="1"/>
  <c r="R22" i="32" s="1"/>
  <c r="R23" i="32" s="1"/>
  <c r="R24" i="32" s="1"/>
  <c r="R25" i="32" s="1"/>
  <c r="R26" i="32" s="1"/>
  <c r="R27" i="32" s="1"/>
  <c r="R28" i="32" s="1"/>
  <c r="R29" i="32" s="1"/>
  <c r="R30" i="32" s="1"/>
  <c r="P27" i="32" l="1"/>
  <c r="P28" i="32"/>
  <c r="P29" i="32" s="1"/>
  <c r="U5" i="32"/>
  <c r="U6" i="32"/>
  <c r="T8" i="32"/>
  <c r="U7" i="32"/>
  <c r="P31" i="32" l="1"/>
  <c r="P30" i="32"/>
  <c r="U8" i="32"/>
  <c r="T9" i="32"/>
  <c r="U9" i="32" l="1"/>
  <c r="T10" i="32"/>
  <c r="U10" i="32" l="1"/>
  <c r="T11" i="32"/>
  <c r="U11" i="32" l="1"/>
  <c r="T12" i="32"/>
  <c r="T13" i="32" l="1"/>
  <c r="U12" i="32"/>
  <c r="U13" i="32" l="1"/>
  <c r="T14" i="32"/>
  <c r="T15" i="32" l="1"/>
  <c r="U14" i="32"/>
  <c r="T16" i="32" l="1"/>
  <c r="U15" i="32"/>
  <c r="U16" i="32" l="1"/>
  <c r="T17" i="32"/>
  <c r="T18" i="32" l="1"/>
  <c r="U18" i="32" s="1"/>
  <c r="U17" i="32"/>
  <c r="T19" i="32" l="1"/>
  <c r="U19" i="32" s="1"/>
  <c r="T20" i="32" l="1"/>
  <c r="U20" i="32" s="1"/>
  <c r="T21" i="32" l="1"/>
  <c r="U21" i="32" s="1"/>
  <c r="T22" i="32" l="1"/>
  <c r="T23" i="32" l="1"/>
  <c r="U22" i="32"/>
  <c r="U23" i="32" l="1"/>
  <c r="T24" i="32"/>
  <c r="T4" i="31"/>
  <c r="P4" i="31"/>
  <c r="P5" i="31" s="1"/>
  <c r="P6" i="31" s="1"/>
  <c r="P7" i="31" s="1"/>
  <c r="P8" i="31" s="1"/>
  <c r="P9" i="31" s="1"/>
  <c r="P10" i="31" s="1"/>
  <c r="P11" i="31" s="1"/>
  <c r="P12" i="31" s="1"/>
  <c r="P13" i="31" s="1"/>
  <c r="P14" i="31" s="1"/>
  <c r="P15" i="31" s="1"/>
  <c r="P16" i="31" s="1"/>
  <c r="P17" i="31" s="1"/>
  <c r="P18" i="31" s="1"/>
  <c r="P19" i="31" s="1"/>
  <c r="P20" i="31" s="1"/>
  <c r="P21" i="31" s="1"/>
  <c r="P22" i="31" s="1"/>
  <c r="P23" i="31" s="1"/>
  <c r="P24" i="31" s="1"/>
  <c r="P25" i="31" s="1"/>
  <c r="P26" i="31" s="1"/>
  <c r="N4" i="31"/>
  <c r="N5" i="31" s="1"/>
  <c r="N6" i="31" s="1"/>
  <c r="N7" i="31" s="1"/>
  <c r="N8" i="31" s="1"/>
  <c r="N9" i="31" s="1"/>
  <c r="N10" i="31" s="1"/>
  <c r="N11" i="31" s="1"/>
  <c r="N12" i="31" s="1"/>
  <c r="N13" i="31" s="1"/>
  <c r="N14" i="31" s="1"/>
  <c r="N15" i="31" s="1"/>
  <c r="N16" i="31" s="1"/>
  <c r="N17" i="31" s="1"/>
  <c r="N18" i="31" s="1"/>
  <c r="N19" i="31" s="1"/>
  <c r="N20" i="31" s="1"/>
  <c r="N21" i="31" s="1"/>
  <c r="N22" i="31" s="1"/>
  <c r="N23" i="31" s="1"/>
  <c r="N24" i="31" s="1"/>
  <c r="N25" i="31" s="1"/>
  <c r="N26" i="31" s="1"/>
  <c r="N27" i="31" s="1"/>
  <c r="L4" i="31"/>
  <c r="L5" i="31" s="1"/>
  <c r="L6" i="31" s="1"/>
  <c r="L7" i="31" s="1"/>
  <c r="L8" i="31" s="1"/>
  <c r="L9" i="31" s="1"/>
  <c r="L10" i="31" s="1"/>
  <c r="L11" i="31" s="1"/>
  <c r="L12" i="31" s="1"/>
  <c r="L13" i="31" s="1"/>
  <c r="L14" i="31" s="1"/>
  <c r="L15" i="31" s="1"/>
  <c r="L16" i="31" s="1"/>
  <c r="L17" i="31" s="1"/>
  <c r="L18" i="31" s="1"/>
  <c r="L19" i="31" s="1"/>
  <c r="L20" i="31" s="1"/>
  <c r="L21" i="31" s="1"/>
  <c r="L22" i="31" s="1"/>
  <c r="L23" i="31" s="1"/>
  <c r="L24" i="31" s="1"/>
  <c r="L25" i="31" s="1"/>
  <c r="L26" i="31" s="1"/>
  <c r="L27" i="31" s="1"/>
  <c r="J4" i="31"/>
  <c r="J5" i="31" s="1"/>
  <c r="J6" i="31" s="1"/>
  <c r="J7" i="31" s="1"/>
  <c r="J8" i="31" s="1"/>
  <c r="J9" i="31" s="1"/>
  <c r="J10" i="31" s="1"/>
  <c r="J11" i="31" s="1"/>
  <c r="J12" i="31" s="1"/>
  <c r="J13" i="31" s="1"/>
  <c r="J14" i="31" s="1"/>
  <c r="J15" i="31" s="1"/>
  <c r="J16" i="31" s="1"/>
  <c r="J17" i="31" s="1"/>
  <c r="J18" i="31" s="1"/>
  <c r="J19" i="31" s="1"/>
  <c r="J20" i="31" s="1"/>
  <c r="J21" i="31" s="1"/>
  <c r="J22" i="31" s="1"/>
  <c r="J23" i="31" s="1"/>
  <c r="J24" i="31" s="1"/>
  <c r="J25" i="31" s="1"/>
  <c r="J26" i="31" s="1"/>
  <c r="J27" i="31" s="1"/>
  <c r="H4" i="31"/>
  <c r="H5" i="31" s="1"/>
  <c r="H6" i="31" s="1"/>
  <c r="H7" i="31" s="1"/>
  <c r="H8" i="31" s="1"/>
  <c r="H9" i="31" s="1"/>
  <c r="H10" i="31" s="1"/>
  <c r="H11" i="31" s="1"/>
  <c r="H12" i="31" s="1"/>
  <c r="H13" i="31" s="1"/>
  <c r="H14" i="31" s="1"/>
  <c r="H15" i="31" s="1"/>
  <c r="H16" i="31" s="1"/>
  <c r="H17" i="31" s="1"/>
  <c r="H18" i="31" s="1"/>
  <c r="H19" i="31" s="1"/>
  <c r="H20" i="31" s="1"/>
  <c r="H21" i="31" s="1"/>
  <c r="H22" i="31" s="1"/>
  <c r="H23" i="31" s="1"/>
  <c r="H24" i="31" s="1"/>
  <c r="H25" i="31" s="1"/>
  <c r="H26" i="31" s="1"/>
  <c r="F4" i="31"/>
  <c r="F5" i="31" s="1"/>
  <c r="F6" i="31" s="1"/>
  <c r="F7" i="31" s="1"/>
  <c r="F8" i="31" s="1"/>
  <c r="F9" i="31" s="1"/>
  <c r="F10" i="31" s="1"/>
  <c r="F11" i="31" s="1"/>
  <c r="F12" i="31" s="1"/>
  <c r="F13" i="31" s="1"/>
  <c r="F14" i="31" s="1"/>
  <c r="F15" i="31" s="1"/>
  <c r="F16" i="31" s="1"/>
  <c r="F17" i="31" s="1"/>
  <c r="F18" i="31" s="1"/>
  <c r="F19" i="31" s="1"/>
  <c r="F20" i="31" s="1"/>
  <c r="F21" i="31" s="1"/>
  <c r="F22" i="31" s="1"/>
  <c r="F23" i="31" s="1"/>
  <c r="F24" i="31" s="1"/>
  <c r="F25" i="31" s="1"/>
  <c r="F26" i="31" s="1"/>
  <c r="F27" i="31" s="1"/>
  <c r="T25" i="32" l="1"/>
  <c r="U24" i="32"/>
  <c r="H27" i="31"/>
  <c r="H30" i="31" s="1"/>
  <c r="P27" i="31"/>
  <c r="T5" i="31"/>
  <c r="T6" i="31" s="1"/>
  <c r="R4" i="31"/>
  <c r="R5" i="31" s="1"/>
  <c r="R6" i="31" s="1"/>
  <c r="R7" i="31" s="1"/>
  <c r="R8" i="31" s="1"/>
  <c r="R9" i="31" s="1"/>
  <c r="R10" i="31" s="1"/>
  <c r="R11" i="31" s="1"/>
  <c r="R12" i="31" s="1"/>
  <c r="R13" i="31" s="1"/>
  <c r="R14" i="31" s="1"/>
  <c r="R15" i="31" s="1"/>
  <c r="R16" i="31" s="1"/>
  <c r="R17" i="31" s="1"/>
  <c r="R18" i="31" s="1"/>
  <c r="R19" i="31" s="1"/>
  <c r="R20" i="31" s="1"/>
  <c r="R21" i="31" s="1"/>
  <c r="R22" i="31" s="1"/>
  <c r="R23" i="31" s="1"/>
  <c r="R24" i="31" s="1"/>
  <c r="R25" i="31" s="1"/>
  <c r="R26" i="31" s="1"/>
  <c r="R27" i="31" s="1"/>
  <c r="R28" i="31" s="1"/>
  <c r="U28" i="31" s="1"/>
  <c r="T26" i="32" l="1"/>
  <c r="U25" i="32"/>
  <c r="U5" i="31"/>
  <c r="U4" i="31"/>
  <c r="U6" i="31"/>
  <c r="T7" i="31"/>
  <c r="T27" i="32" l="1"/>
  <c r="U26" i="32"/>
  <c r="U7" i="31"/>
  <c r="T8" i="31"/>
  <c r="T28" i="32" l="1"/>
  <c r="U27" i="32"/>
  <c r="T9" i="31"/>
  <c r="U8" i="31"/>
  <c r="T29" i="32" l="1"/>
  <c r="T30" i="32" s="1"/>
  <c r="U30" i="32" s="1"/>
  <c r="U28" i="32"/>
  <c r="U9" i="31"/>
  <c r="T10" i="31"/>
  <c r="U29" i="32" l="1"/>
  <c r="T31" i="32"/>
  <c r="T11" i="31"/>
  <c r="U10" i="31"/>
  <c r="T12" i="31" l="1"/>
  <c r="U11" i="31"/>
  <c r="U12" i="31" l="1"/>
  <c r="T13" i="31"/>
  <c r="T14" i="31" l="1"/>
  <c r="U13" i="31"/>
  <c r="U14" i="31" l="1"/>
  <c r="T15" i="31"/>
  <c r="U15" i="31" l="1"/>
  <c r="T16" i="31"/>
  <c r="T17" i="31" l="1"/>
  <c r="U16" i="31"/>
  <c r="U17" i="31" l="1"/>
  <c r="T18" i="31"/>
  <c r="T19" i="31" l="1"/>
  <c r="U18" i="31"/>
  <c r="T20" i="31" l="1"/>
  <c r="U19" i="31"/>
  <c r="U20" i="31" l="1"/>
  <c r="T21" i="31"/>
  <c r="T22" i="31" l="1"/>
  <c r="U21" i="31"/>
  <c r="U22" i="31" l="1"/>
  <c r="T23" i="31"/>
  <c r="U23" i="31" l="1"/>
  <c r="T24" i="31"/>
  <c r="T25" i="31" l="1"/>
  <c r="U24" i="31"/>
  <c r="U25" i="31" l="1"/>
  <c r="T26" i="31"/>
  <c r="T27" i="31" s="1"/>
  <c r="U27" i="31" l="1"/>
  <c r="U26" i="31"/>
  <c r="N5" i="30" l="1"/>
  <c r="N6" i="30" s="1"/>
  <c r="N7" i="30" s="1"/>
  <c r="N8" i="30" s="1"/>
  <c r="N9" i="30" s="1"/>
  <c r="N10" i="30" s="1"/>
  <c r="N11" i="30" s="1"/>
  <c r="N12" i="30" s="1"/>
  <c r="N13" i="30" s="1"/>
  <c r="N14" i="30" s="1"/>
  <c r="N15" i="30" s="1"/>
  <c r="N16" i="30" s="1"/>
  <c r="N17" i="30" s="1"/>
  <c r="N18" i="30" s="1"/>
  <c r="N19" i="30" s="1"/>
  <c r="N20" i="30" s="1"/>
  <c r="N21" i="30" s="1"/>
  <c r="N22" i="30" s="1"/>
  <c r="N23" i="30" s="1"/>
  <c r="N24" i="30" s="1"/>
  <c r="N25" i="30" s="1"/>
  <c r="N26" i="30" s="1"/>
  <c r="N27" i="30" s="1"/>
  <c r="N28" i="30" s="1"/>
  <c r="N29" i="30" s="1"/>
  <c r="T4" i="30"/>
  <c r="P4" i="30"/>
  <c r="P5" i="30" s="1"/>
  <c r="P6" i="30" s="1"/>
  <c r="P7" i="30" s="1"/>
  <c r="P8" i="30" s="1"/>
  <c r="P9" i="30" s="1"/>
  <c r="P10" i="30" s="1"/>
  <c r="P11" i="30" s="1"/>
  <c r="P12" i="30" s="1"/>
  <c r="P13" i="30" s="1"/>
  <c r="P14" i="30" s="1"/>
  <c r="P15" i="30" s="1"/>
  <c r="P16" i="30" s="1"/>
  <c r="P17" i="30" s="1"/>
  <c r="P18" i="30" s="1"/>
  <c r="P19" i="30" s="1"/>
  <c r="P20" i="30" s="1"/>
  <c r="P21" i="30" s="1"/>
  <c r="P22" i="30" s="1"/>
  <c r="P23" i="30" s="1"/>
  <c r="P24" i="30" s="1"/>
  <c r="P25" i="30" s="1"/>
  <c r="P26" i="30" s="1"/>
  <c r="P27" i="30" s="1"/>
  <c r="P28" i="30" s="1"/>
  <c r="P29" i="30" s="1"/>
  <c r="P30" i="30" s="1"/>
  <c r="L4" i="30"/>
  <c r="L5" i="30" s="1"/>
  <c r="L6" i="30" s="1"/>
  <c r="L7" i="30" s="1"/>
  <c r="L8" i="30" s="1"/>
  <c r="L9" i="30" s="1"/>
  <c r="L10" i="30" s="1"/>
  <c r="L11" i="30" s="1"/>
  <c r="L12" i="30" s="1"/>
  <c r="L13" i="30" s="1"/>
  <c r="L14" i="30" s="1"/>
  <c r="L15" i="30" s="1"/>
  <c r="L16" i="30" s="1"/>
  <c r="L17" i="30" s="1"/>
  <c r="L18" i="30" s="1"/>
  <c r="L19" i="30" s="1"/>
  <c r="L20" i="30" s="1"/>
  <c r="L21" i="30" s="1"/>
  <c r="L22" i="30" s="1"/>
  <c r="L23" i="30" s="1"/>
  <c r="L24" i="30" s="1"/>
  <c r="L25" i="30" s="1"/>
  <c r="L26" i="30" s="1"/>
  <c r="L27" i="30" s="1"/>
  <c r="L28" i="30" s="1"/>
  <c r="L29" i="30" s="1"/>
  <c r="L30" i="30" s="1"/>
  <c r="J4" i="30"/>
  <c r="J5" i="30" s="1"/>
  <c r="J6" i="30" s="1"/>
  <c r="J7" i="30" s="1"/>
  <c r="J8" i="30" s="1"/>
  <c r="J9" i="30" s="1"/>
  <c r="J10" i="30" s="1"/>
  <c r="J11" i="30" s="1"/>
  <c r="J12" i="30" s="1"/>
  <c r="J13" i="30" s="1"/>
  <c r="J14" i="30" s="1"/>
  <c r="J15" i="30" s="1"/>
  <c r="J16" i="30" s="1"/>
  <c r="J17" i="30" s="1"/>
  <c r="J18" i="30" s="1"/>
  <c r="J19" i="30" s="1"/>
  <c r="J20" i="30" s="1"/>
  <c r="J21" i="30" s="1"/>
  <c r="J22" i="30" s="1"/>
  <c r="J23" i="30" s="1"/>
  <c r="J24" i="30" s="1"/>
  <c r="J25" i="30" s="1"/>
  <c r="J26" i="30" s="1"/>
  <c r="J27" i="30" s="1"/>
  <c r="J28" i="30" s="1"/>
  <c r="J29" i="30" s="1"/>
  <c r="H4" i="30"/>
  <c r="H5" i="30" s="1"/>
  <c r="H6" i="30" s="1"/>
  <c r="H7" i="30" s="1"/>
  <c r="H8" i="30" s="1"/>
  <c r="H9" i="30" s="1"/>
  <c r="H10" i="30" s="1"/>
  <c r="H11" i="30" s="1"/>
  <c r="H12" i="30" s="1"/>
  <c r="H13" i="30" s="1"/>
  <c r="H14" i="30" s="1"/>
  <c r="H15" i="30" s="1"/>
  <c r="H16" i="30" s="1"/>
  <c r="H17" i="30" s="1"/>
  <c r="H18" i="30" s="1"/>
  <c r="H19" i="30" s="1"/>
  <c r="H20" i="30" s="1"/>
  <c r="H21" i="30" s="1"/>
  <c r="H22" i="30" s="1"/>
  <c r="H23" i="30" s="1"/>
  <c r="H24" i="30" s="1"/>
  <c r="H25" i="30" s="1"/>
  <c r="H26" i="30" s="1"/>
  <c r="H27" i="30" s="1"/>
  <c r="H28" i="30" s="1"/>
  <c r="H29" i="30" s="1"/>
  <c r="H30" i="30" s="1"/>
  <c r="F4" i="30"/>
  <c r="F5" i="30" s="1"/>
  <c r="F6" i="30" s="1"/>
  <c r="F7" i="30" s="1"/>
  <c r="F8" i="30" s="1"/>
  <c r="F9" i="30" s="1"/>
  <c r="F10" i="30" s="1"/>
  <c r="F11" i="30" s="1"/>
  <c r="F12" i="30" s="1"/>
  <c r="F13" i="30" s="1"/>
  <c r="F14" i="30" s="1"/>
  <c r="F15" i="30" s="1"/>
  <c r="F16" i="30" s="1"/>
  <c r="F17" i="30" s="1"/>
  <c r="F18" i="30" s="1"/>
  <c r="F19" i="30" s="1"/>
  <c r="F20" i="30" s="1"/>
  <c r="F21" i="30" s="1"/>
  <c r="F22" i="30" s="1"/>
  <c r="F23" i="30" s="1"/>
  <c r="F24" i="30" s="1"/>
  <c r="F25" i="30" s="1"/>
  <c r="F26" i="30" s="1"/>
  <c r="F27" i="30" s="1"/>
  <c r="F28" i="30" s="1"/>
  <c r="F29" i="30" s="1"/>
  <c r="T5" i="30" l="1"/>
  <c r="R4" i="30"/>
  <c r="R5" i="30" s="1"/>
  <c r="R6" i="30" s="1"/>
  <c r="R7" i="30" s="1"/>
  <c r="R8" i="30" s="1"/>
  <c r="R9" i="30" s="1"/>
  <c r="R10" i="30" s="1"/>
  <c r="R11" i="30" s="1"/>
  <c r="R12" i="30" s="1"/>
  <c r="R13" i="30" s="1"/>
  <c r="R14" i="30" s="1"/>
  <c r="R15" i="30" s="1"/>
  <c r="R16" i="30" s="1"/>
  <c r="R17" i="30" s="1"/>
  <c r="R18" i="30" s="1"/>
  <c r="R19" i="30" s="1"/>
  <c r="R20" i="30" s="1"/>
  <c r="R21" i="30" s="1"/>
  <c r="R22" i="30" s="1"/>
  <c r="R23" i="30" s="1"/>
  <c r="R24" i="30" s="1"/>
  <c r="R25" i="30" s="1"/>
  <c r="R26" i="30" s="1"/>
  <c r="R27" i="30" s="1"/>
  <c r="R28" i="30" l="1"/>
  <c r="T6" i="30"/>
  <c r="U5" i="30"/>
  <c r="U4" i="30"/>
  <c r="R29" i="30" l="1"/>
  <c r="T7" i="30"/>
  <c r="U6" i="30"/>
  <c r="U7" i="30" l="1"/>
  <c r="T8" i="30"/>
  <c r="T9" i="30" l="1"/>
  <c r="U8" i="30"/>
  <c r="T10" i="30" l="1"/>
  <c r="U9" i="30"/>
  <c r="U10" i="30" l="1"/>
  <c r="T11" i="30"/>
  <c r="T12" i="30" l="1"/>
  <c r="U11" i="30"/>
  <c r="T13" i="30" l="1"/>
  <c r="U12" i="30"/>
  <c r="U13" i="30" l="1"/>
  <c r="T14" i="30"/>
  <c r="T15" i="30" l="1"/>
  <c r="U14" i="30"/>
  <c r="U15" i="30" l="1"/>
  <c r="T16" i="30"/>
  <c r="U16" i="30" l="1"/>
  <c r="T17" i="30"/>
  <c r="T18" i="30" l="1"/>
  <c r="U17" i="30"/>
  <c r="U18" i="30" l="1"/>
  <c r="T19" i="30"/>
  <c r="T20" i="30" l="1"/>
  <c r="U19" i="30"/>
  <c r="T21" i="30" l="1"/>
  <c r="U20" i="30"/>
  <c r="U21" i="30" l="1"/>
  <c r="T22" i="30"/>
  <c r="T23" i="30" l="1"/>
  <c r="U22" i="30"/>
  <c r="T24" i="30" l="1"/>
  <c r="U23" i="30"/>
  <c r="U24" i="30" l="1"/>
  <c r="T25" i="30"/>
  <c r="T26" i="30" l="1"/>
  <c r="T27" i="30" s="1"/>
  <c r="U25" i="30"/>
  <c r="T28" i="30" l="1"/>
  <c r="U27" i="30"/>
  <c r="U26" i="30"/>
  <c r="T30" i="30"/>
  <c r="T29" i="30" l="1"/>
  <c r="U29" i="30" s="1"/>
  <c r="U28" i="30"/>
  <c r="P6" i="29"/>
  <c r="P7" i="29" s="1"/>
  <c r="P8" i="29" s="1"/>
  <c r="P9" i="29" s="1"/>
  <c r="P10" i="29" s="1"/>
  <c r="P11" i="29" s="1"/>
  <c r="P12" i="29" s="1"/>
  <c r="P13" i="29" s="1"/>
  <c r="P14" i="29" s="1"/>
  <c r="P15" i="29" s="1"/>
  <c r="P16" i="29" s="1"/>
  <c r="P17" i="29" s="1"/>
  <c r="P18" i="29" s="1"/>
  <c r="P19" i="29" s="1"/>
  <c r="P20" i="29" s="1"/>
  <c r="P21" i="29" s="1"/>
  <c r="P22" i="29" s="1"/>
  <c r="P23" i="29" s="1"/>
  <c r="P24" i="29" s="1"/>
  <c r="P25" i="29" s="1"/>
  <c r="P26" i="29" s="1"/>
  <c r="P27" i="29" s="1"/>
  <c r="P28" i="29" s="1"/>
  <c r="N6" i="29"/>
  <c r="N7" i="29" s="1"/>
  <c r="N8" i="29" s="1"/>
  <c r="N9" i="29" s="1"/>
  <c r="N10" i="29" s="1"/>
  <c r="N11" i="29" s="1"/>
  <c r="N12" i="29" s="1"/>
  <c r="N13" i="29" s="1"/>
  <c r="N14" i="29" s="1"/>
  <c r="N15" i="29" s="1"/>
  <c r="N16" i="29" s="1"/>
  <c r="N17" i="29" s="1"/>
  <c r="N18" i="29" s="1"/>
  <c r="N19" i="29" s="1"/>
  <c r="N20" i="29" s="1"/>
  <c r="N21" i="29" s="1"/>
  <c r="N22" i="29" s="1"/>
  <c r="N23" i="29" s="1"/>
  <c r="N24" i="29" s="1"/>
  <c r="N25" i="29" s="1"/>
  <c r="N26" i="29" s="1"/>
  <c r="N27" i="29" s="1"/>
  <c r="N28" i="29" s="1"/>
  <c r="T5" i="29"/>
  <c r="L6" i="29"/>
  <c r="L7" i="29" s="1"/>
  <c r="L8" i="29" s="1"/>
  <c r="L9" i="29" s="1"/>
  <c r="L10" i="29" s="1"/>
  <c r="L11" i="29" s="1"/>
  <c r="L12" i="29" s="1"/>
  <c r="L13" i="29" s="1"/>
  <c r="L14" i="29" s="1"/>
  <c r="L15" i="29" s="1"/>
  <c r="L16" i="29" s="1"/>
  <c r="L17" i="29" s="1"/>
  <c r="L18" i="29" s="1"/>
  <c r="L19" i="29" s="1"/>
  <c r="L20" i="29" s="1"/>
  <c r="L21" i="29" s="1"/>
  <c r="L22" i="29" s="1"/>
  <c r="L23" i="29" s="1"/>
  <c r="L24" i="29" s="1"/>
  <c r="L25" i="29" s="1"/>
  <c r="L26" i="29" s="1"/>
  <c r="L27" i="29" s="1"/>
  <c r="L28" i="29" s="1"/>
  <c r="J5" i="29"/>
  <c r="J6" i="29" s="1"/>
  <c r="J7" i="29" s="1"/>
  <c r="J8" i="29" s="1"/>
  <c r="J9" i="29" s="1"/>
  <c r="J10" i="29" s="1"/>
  <c r="J11" i="29" s="1"/>
  <c r="J12" i="29" s="1"/>
  <c r="J13" i="29" s="1"/>
  <c r="J14" i="29" s="1"/>
  <c r="J15" i="29" s="1"/>
  <c r="J16" i="29" s="1"/>
  <c r="J17" i="29" s="1"/>
  <c r="J18" i="29" s="1"/>
  <c r="J19" i="29" s="1"/>
  <c r="J20" i="29" s="1"/>
  <c r="J21" i="29" s="1"/>
  <c r="J22" i="29" s="1"/>
  <c r="J23" i="29" s="1"/>
  <c r="J24" i="29" s="1"/>
  <c r="J25" i="29" s="1"/>
  <c r="J26" i="29" s="1"/>
  <c r="J27" i="29" s="1"/>
  <c r="J28" i="29" s="1"/>
  <c r="H5" i="29"/>
  <c r="H6" i="29" s="1"/>
  <c r="H7" i="29" s="1"/>
  <c r="H8" i="29" s="1"/>
  <c r="H9" i="29" s="1"/>
  <c r="H10" i="29" s="1"/>
  <c r="H11" i="29" s="1"/>
  <c r="H12" i="29" s="1"/>
  <c r="H13" i="29" s="1"/>
  <c r="H14" i="29" s="1"/>
  <c r="H15" i="29" s="1"/>
  <c r="H16" i="29" s="1"/>
  <c r="H17" i="29" s="1"/>
  <c r="H18" i="29" s="1"/>
  <c r="H19" i="29" s="1"/>
  <c r="H20" i="29" s="1"/>
  <c r="H21" i="29" s="1"/>
  <c r="H22" i="29" s="1"/>
  <c r="H23" i="29" s="1"/>
  <c r="H24" i="29" s="1"/>
  <c r="H25" i="29" s="1"/>
  <c r="H26" i="29" s="1"/>
  <c r="H27" i="29" s="1"/>
  <c r="H28" i="29" s="1"/>
  <c r="H31" i="29" s="1"/>
  <c r="F5" i="29"/>
  <c r="F6" i="29" s="1"/>
  <c r="F7" i="29" s="1"/>
  <c r="F8" i="29" s="1"/>
  <c r="F9" i="29" s="1"/>
  <c r="F10" i="29" s="1"/>
  <c r="F11" i="29" s="1"/>
  <c r="F12" i="29" s="1"/>
  <c r="F13" i="29" s="1"/>
  <c r="F14" i="29" s="1"/>
  <c r="F15" i="29" s="1"/>
  <c r="F16" i="29" s="1"/>
  <c r="F17" i="29" s="1"/>
  <c r="F18" i="29" s="1"/>
  <c r="F19" i="29" s="1"/>
  <c r="F20" i="29" s="1"/>
  <c r="F21" i="29" s="1"/>
  <c r="F22" i="29" s="1"/>
  <c r="F23" i="29" s="1"/>
  <c r="F24" i="29" s="1"/>
  <c r="F25" i="29" s="1"/>
  <c r="F26" i="29" s="1"/>
  <c r="F27" i="29" s="1"/>
  <c r="F28" i="29" s="1"/>
  <c r="P31" i="29" l="1"/>
  <c r="T6" i="29"/>
  <c r="R5" i="29"/>
  <c r="R6" i="29" s="1"/>
  <c r="R7" i="29" s="1"/>
  <c r="R8" i="29" s="1"/>
  <c r="R9" i="29" s="1"/>
  <c r="R10" i="29" s="1"/>
  <c r="R11" i="29" s="1"/>
  <c r="R12" i="29" s="1"/>
  <c r="R13" i="29" s="1"/>
  <c r="R14" i="29" s="1"/>
  <c r="R15" i="29" s="1"/>
  <c r="R16" i="29" s="1"/>
  <c r="R17" i="29" s="1"/>
  <c r="R18" i="29" s="1"/>
  <c r="R19" i="29" s="1"/>
  <c r="R20" i="29" s="1"/>
  <c r="R21" i="29" s="1"/>
  <c r="R22" i="29" s="1"/>
  <c r="R23" i="29" s="1"/>
  <c r="R24" i="29" s="1"/>
  <c r="R25" i="29" s="1"/>
  <c r="R26" i="29" l="1"/>
  <c r="R27" i="29" s="1"/>
  <c r="R28" i="29" s="1"/>
  <c r="R29" i="29" s="1"/>
  <c r="U29" i="29" s="1"/>
  <c r="U6" i="29"/>
  <c r="T7" i="29"/>
  <c r="U5" i="29"/>
  <c r="T8" i="29" l="1"/>
  <c r="U7" i="29"/>
  <c r="U8" i="29" l="1"/>
  <c r="T9" i="29"/>
  <c r="T10" i="29" l="1"/>
  <c r="U9" i="29"/>
  <c r="T11" i="29" l="1"/>
  <c r="U10" i="29"/>
  <c r="U11" i="29" l="1"/>
  <c r="T12" i="29"/>
  <c r="T13" i="29" l="1"/>
  <c r="U12" i="29"/>
  <c r="U13" i="29" l="1"/>
  <c r="T14" i="29"/>
  <c r="U14" i="29" l="1"/>
  <c r="T15" i="29"/>
  <c r="T16" i="29" l="1"/>
  <c r="U15" i="29"/>
  <c r="U16" i="29" l="1"/>
  <c r="T17" i="29"/>
  <c r="T18" i="29" l="1"/>
  <c r="U17" i="29"/>
  <c r="T19" i="29" l="1"/>
  <c r="U18" i="29"/>
  <c r="U19" i="29" l="1"/>
  <c r="T20" i="29"/>
  <c r="T21" i="29" l="1"/>
  <c r="U20" i="29"/>
  <c r="T22" i="29" l="1"/>
  <c r="U21" i="29"/>
  <c r="U22" i="29" l="1"/>
  <c r="T23" i="29"/>
  <c r="T24" i="29" l="1"/>
  <c r="U23" i="29"/>
  <c r="U24" i="29" l="1"/>
  <c r="T25" i="29"/>
  <c r="U25" i="29" l="1"/>
  <c r="T26" i="29"/>
  <c r="T27" i="29" l="1"/>
  <c r="T28" i="29" s="1"/>
  <c r="U26" i="29"/>
  <c r="U28" i="29" l="1"/>
  <c r="T31" i="29"/>
  <c r="U27" i="29"/>
  <c r="N6" i="28" l="1"/>
  <c r="N7" i="28" s="1"/>
  <c r="N8" i="28" s="1"/>
  <c r="N9" i="28" s="1"/>
  <c r="N10" i="28" s="1"/>
  <c r="N11" i="28" s="1"/>
  <c r="N12" i="28" s="1"/>
  <c r="N13" i="28" s="1"/>
  <c r="N14" i="28" s="1"/>
  <c r="N15" i="28" s="1"/>
  <c r="N16" i="28" s="1"/>
  <c r="N17" i="28" s="1"/>
  <c r="N18" i="28" s="1"/>
  <c r="N19" i="28" s="1"/>
  <c r="N20" i="28" s="1"/>
  <c r="N21" i="28" s="1"/>
  <c r="N22" i="28" s="1"/>
  <c r="N23" i="28" s="1"/>
  <c r="N24" i="28" s="1"/>
  <c r="N25" i="28" s="1"/>
  <c r="N26" i="28" s="1"/>
  <c r="N27" i="28" s="1"/>
  <c r="N28" i="28" s="1"/>
  <c r="J6" i="28"/>
  <c r="T5" i="28"/>
  <c r="R5" i="28"/>
  <c r="P6" i="28"/>
  <c r="P7" i="28" s="1"/>
  <c r="P8" i="28" s="1"/>
  <c r="P9" i="28" s="1"/>
  <c r="P10" i="28" s="1"/>
  <c r="P11" i="28" s="1"/>
  <c r="P12" i="28" s="1"/>
  <c r="P13" i="28" s="1"/>
  <c r="P14" i="28" s="1"/>
  <c r="P15" i="28" s="1"/>
  <c r="P16" i="28" s="1"/>
  <c r="P17" i="28" s="1"/>
  <c r="P18" i="28" s="1"/>
  <c r="P19" i="28" s="1"/>
  <c r="P20" i="28" s="1"/>
  <c r="P21" i="28" s="1"/>
  <c r="P22" i="28" s="1"/>
  <c r="P23" i="28" s="1"/>
  <c r="P24" i="28" s="1"/>
  <c r="P25" i="28" s="1"/>
  <c r="P26" i="28" s="1"/>
  <c r="P27" i="28" s="1"/>
  <c r="P28" i="28" s="1"/>
  <c r="L5" i="28"/>
  <c r="H5" i="28"/>
  <c r="H6" i="28" s="1"/>
  <c r="H7" i="28" s="1"/>
  <c r="H8" i="28" s="1"/>
  <c r="H9" i="28" s="1"/>
  <c r="H10" i="28" s="1"/>
  <c r="H11" i="28" s="1"/>
  <c r="H12" i="28" s="1"/>
  <c r="H13" i="28" s="1"/>
  <c r="H14" i="28" s="1"/>
  <c r="H15" i="28" s="1"/>
  <c r="H16" i="28" s="1"/>
  <c r="H17" i="28" s="1"/>
  <c r="H18" i="28" s="1"/>
  <c r="H19" i="28" s="1"/>
  <c r="H20" i="28" s="1"/>
  <c r="H21" i="28" s="1"/>
  <c r="H22" i="28" s="1"/>
  <c r="H23" i="28" s="1"/>
  <c r="H24" i="28" s="1"/>
  <c r="H25" i="28" s="1"/>
  <c r="H26" i="28" s="1"/>
  <c r="H27" i="28" s="1"/>
  <c r="H28" i="28" s="1"/>
  <c r="F5" i="28"/>
  <c r="F6" i="28" s="1"/>
  <c r="F7" i="28" s="1"/>
  <c r="F8" i="28" s="1"/>
  <c r="F9" i="28" s="1"/>
  <c r="F10" i="28" s="1"/>
  <c r="F11" i="28" s="1"/>
  <c r="F12" i="28" s="1"/>
  <c r="F13" i="28" s="1"/>
  <c r="F14" i="28" s="1"/>
  <c r="F15" i="28" s="1"/>
  <c r="F16" i="28" s="1"/>
  <c r="F17" i="28" s="1"/>
  <c r="F18" i="28" s="1"/>
  <c r="F19" i="28" s="1"/>
  <c r="F20" i="28" s="1"/>
  <c r="F21" i="28" s="1"/>
  <c r="F22" i="28" s="1"/>
  <c r="F23" i="28" s="1"/>
  <c r="F24" i="28" s="1"/>
  <c r="F25" i="28" s="1"/>
  <c r="F26" i="28" s="1"/>
  <c r="F27" i="28" s="1"/>
  <c r="F28" i="28" s="1"/>
  <c r="T6" i="28" l="1"/>
  <c r="T7" i="28" s="1"/>
  <c r="R6" i="28"/>
  <c r="R7" i="28" s="1"/>
  <c r="R8" i="28" s="1"/>
  <c r="R9" i="28" s="1"/>
  <c r="R10" i="28" s="1"/>
  <c r="R11" i="28" s="1"/>
  <c r="R12" i="28" s="1"/>
  <c r="R13" i="28" s="1"/>
  <c r="R14" i="28" s="1"/>
  <c r="R15" i="28" s="1"/>
  <c r="R16" i="28" s="1"/>
  <c r="R17" i="28" s="1"/>
  <c r="R18" i="28" s="1"/>
  <c r="R19" i="28" s="1"/>
  <c r="R20" i="28" s="1"/>
  <c r="R21" i="28" s="1"/>
  <c r="R22" i="28" s="1"/>
  <c r="R23" i="28" s="1"/>
  <c r="R24" i="28" s="1"/>
  <c r="R25" i="28" s="1"/>
  <c r="R26" i="28" s="1"/>
  <c r="R27" i="28" s="1"/>
  <c r="R28" i="28" s="1"/>
  <c r="R29" i="28" s="1"/>
  <c r="U29" i="28" s="1"/>
  <c r="J7" i="28"/>
  <c r="J8" i="28" s="1"/>
  <c r="J9" i="28" s="1"/>
  <c r="J10" i="28" s="1"/>
  <c r="J11" i="28" s="1"/>
  <c r="J12" i="28" s="1"/>
  <c r="J13" i="28" s="1"/>
  <c r="J14" i="28" s="1"/>
  <c r="J15" i="28" s="1"/>
  <c r="J16" i="28" s="1"/>
  <c r="J17" i="28" s="1"/>
  <c r="J18" i="28" s="1"/>
  <c r="J19" i="28" s="1"/>
  <c r="J20" i="28" s="1"/>
  <c r="J21" i="28" s="1"/>
  <c r="J22" i="28" s="1"/>
  <c r="J23" i="28" s="1"/>
  <c r="J24" i="28" s="1"/>
  <c r="J25" i="28" s="1"/>
  <c r="J26" i="28" s="1"/>
  <c r="J27" i="28" s="1"/>
  <c r="J28" i="28" s="1"/>
  <c r="H31" i="28"/>
  <c r="L6" i="28"/>
  <c r="L7" i="28" s="1"/>
  <c r="L8" i="28" s="1"/>
  <c r="L9" i="28" s="1"/>
  <c r="L10" i="28" s="1"/>
  <c r="L11" i="28" s="1"/>
  <c r="L12" i="28" s="1"/>
  <c r="L13" i="28" s="1"/>
  <c r="L14" i="28" s="1"/>
  <c r="L15" i="28" s="1"/>
  <c r="L16" i="28" s="1"/>
  <c r="L17" i="28" s="1"/>
  <c r="L18" i="28" s="1"/>
  <c r="L19" i="28" s="1"/>
  <c r="L20" i="28" s="1"/>
  <c r="L21" i="28" s="1"/>
  <c r="L22" i="28" s="1"/>
  <c r="L23" i="28" s="1"/>
  <c r="L24" i="28" s="1"/>
  <c r="L25" i="28" s="1"/>
  <c r="U5" i="28"/>
  <c r="L26" i="28" l="1"/>
  <c r="L27" i="28" s="1"/>
  <c r="L28" i="28" s="1"/>
  <c r="U6" i="28"/>
  <c r="U7" i="28"/>
  <c r="T8" i="28"/>
  <c r="T9" i="28" l="1"/>
  <c r="U8" i="28"/>
  <c r="T10" i="28" l="1"/>
  <c r="U9" i="28"/>
  <c r="T11" i="28" l="1"/>
  <c r="U10" i="28"/>
  <c r="U11" i="28" l="1"/>
  <c r="T12" i="28"/>
  <c r="U12" i="28" l="1"/>
  <c r="T13" i="28"/>
  <c r="T14" i="28" l="1"/>
  <c r="U13" i="28"/>
  <c r="T15" i="28" l="1"/>
  <c r="U14" i="28"/>
  <c r="U15" i="28" l="1"/>
  <c r="T16" i="28"/>
  <c r="T17" i="28" l="1"/>
  <c r="U16" i="28"/>
  <c r="T18" i="28" l="1"/>
  <c r="U17" i="28"/>
  <c r="T19" i="28" l="1"/>
  <c r="U18" i="28"/>
  <c r="U19" i="28" l="1"/>
  <c r="T20" i="28"/>
  <c r="U20" i="28" l="1"/>
  <c r="T21" i="28"/>
  <c r="T22" i="28" l="1"/>
  <c r="U21" i="28"/>
  <c r="T23" i="28" l="1"/>
  <c r="U22" i="28"/>
  <c r="T24" i="28" l="1"/>
  <c r="U23" i="28"/>
  <c r="U24" i="28" l="1"/>
  <c r="T25" i="28"/>
  <c r="T26" i="28" l="1"/>
  <c r="U25" i="28"/>
  <c r="T27" i="28" l="1"/>
  <c r="T28" i="28" s="1"/>
  <c r="U26" i="28"/>
  <c r="U28" i="28" l="1"/>
  <c r="U27" i="28"/>
  <c r="P10" i="27" l="1"/>
  <c r="P11" i="27" s="1"/>
  <c r="P12" i="27" s="1"/>
  <c r="P13" i="27" s="1"/>
  <c r="P14" i="27" s="1"/>
  <c r="P15" i="27" s="1"/>
  <c r="P16" i="27" s="1"/>
  <c r="P17" i="27" s="1"/>
  <c r="P18" i="27" s="1"/>
  <c r="P19" i="27" s="1"/>
  <c r="P20" i="27" s="1"/>
  <c r="P21" i="27" s="1"/>
  <c r="P22" i="27" s="1"/>
  <c r="P23" i="27" s="1"/>
  <c r="P24" i="27" s="1"/>
  <c r="P25" i="27" s="1"/>
  <c r="P26" i="27" s="1"/>
  <c r="P27" i="27" s="1"/>
  <c r="P28" i="27" s="1"/>
  <c r="T5" i="27"/>
  <c r="P5" i="27"/>
  <c r="P6" i="27" s="1"/>
  <c r="P7" i="27" s="1"/>
  <c r="P8" i="27" s="1"/>
  <c r="N5" i="27"/>
  <c r="N6" i="27" s="1"/>
  <c r="N7" i="27" s="1"/>
  <c r="N8" i="27" s="1"/>
  <c r="N9" i="27" s="1"/>
  <c r="N10" i="27" s="1"/>
  <c r="N11" i="27" s="1"/>
  <c r="N12" i="27" s="1"/>
  <c r="N13" i="27" s="1"/>
  <c r="N14" i="27" s="1"/>
  <c r="N15" i="27" s="1"/>
  <c r="N16" i="27" s="1"/>
  <c r="N17" i="27" s="1"/>
  <c r="N18" i="27" s="1"/>
  <c r="N19" i="27" s="1"/>
  <c r="N20" i="27" s="1"/>
  <c r="N21" i="27" s="1"/>
  <c r="N22" i="27" s="1"/>
  <c r="N23" i="27" s="1"/>
  <c r="N24" i="27" s="1"/>
  <c r="N25" i="27" s="1"/>
  <c r="N26" i="27" s="1"/>
  <c r="N27" i="27" s="1"/>
  <c r="N28" i="27" s="1"/>
  <c r="L5" i="27"/>
  <c r="T6" i="27" l="1"/>
  <c r="T7" i="27" s="1"/>
  <c r="L6" i="27"/>
  <c r="L7" i="27" s="1"/>
  <c r="J7" i="27"/>
  <c r="J8" i="27" s="1"/>
  <c r="P31" i="27"/>
  <c r="R5" i="27"/>
  <c r="R6" i="27" s="1"/>
  <c r="R7" i="27" s="1"/>
  <c r="L8" i="27" l="1"/>
  <c r="J9" i="27"/>
  <c r="T8" i="27"/>
  <c r="U7" i="27"/>
  <c r="R8" i="27"/>
  <c r="R9" i="27" s="1"/>
  <c r="R10" i="27" s="1"/>
  <c r="R11" i="27" s="1"/>
  <c r="R12" i="27" s="1"/>
  <c r="R13" i="27" s="1"/>
  <c r="R14" i="27" s="1"/>
  <c r="R15" i="27" s="1"/>
  <c r="R16" i="27" s="1"/>
  <c r="R17" i="27" s="1"/>
  <c r="R18" i="27" s="1"/>
  <c r="R19" i="27" s="1"/>
  <c r="R20" i="27" s="1"/>
  <c r="R21" i="27" s="1"/>
  <c r="R22" i="27" s="1"/>
  <c r="R23" i="27" s="1"/>
  <c r="R24" i="27" s="1"/>
  <c r="R25" i="27" s="1"/>
  <c r="R26" i="27" s="1"/>
  <c r="R27" i="27" s="1"/>
  <c r="U6" i="27"/>
  <c r="R28" i="27" l="1"/>
  <c r="T9" i="27"/>
  <c r="U8" i="27"/>
  <c r="J10" i="27"/>
  <c r="L9" i="27"/>
  <c r="U9" i="27" l="1"/>
  <c r="T10" i="27"/>
  <c r="L10" i="27"/>
  <c r="J11" i="27"/>
  <c r="U10" i="27" l="1"/>
  <c r="T11" i="27"/>
  <c r="J12" i="27"/>
  <c r="L11" i="27"/>
  <c r="U11" i="27" l="1"/>
  <c r="T12" i="27"/>
  <c r="L12" i="27"/>
  <c r="J13" i="27"/>
  <c r="L13" i="27" l="1"/>
  <c r="J14" i="27"/>
  <c r="T13" i="27"/>
  <c r="U12" i="27"/>
  <c r="L14" i="27" l="1"/>
  <c r="U13" i="27"/>
  <c r="T14" i="27"/>
  <c r="J15" i="27"/>
  <c r="J16" i="27" l="1"/>
  <c r="T15" i="27"/>
  <c r="U14" i="27"/>
  <c r="L15" i="27"/>
  <c r="J17" i="27" l="1"/>
  <c r="L16" i="27"/>
  <c r="T16" i="27"/>
  <c r="U15" i="27"/>
  <c r="J18" i="27" l="1"/>
  <c r="T17" i="27"/>
  <c r="U16" i="27"/>
  <c r="L17" i="27"/>
  <c r="J19" i="27" l="1"/>
  <c r="L18" i="27"/>
  <c r="T18" i="27"/>
  <c r="U17" i="27"/>
  <c r="U18" i="27" l="1"/>
  <c r="T19" i="27"/>
  <c r="L19" i="27"/>
  <c r="J20" i="27"/>
  <c r="J21" i="27" l="1"/>
  <c r="L20" i="27"/>
  <c r="T20" i="27"/>
  <c r="U19" i="27"/>
  <c r="U20" i="27" l="1"/>
  <c r="T21" i="27"/>
  <c r="L21" i="27"/>
  <c r="J22" i="27"/>
  <c r="L22" i="27" l="1"/>
  <c r="J23" i="27"/>
  <c r="U21" i="27"/>
  <c r="T22" i="27"/>
  <c r="T23" i="27" l="1"/>
  <c r="U22" i="27"/>
  <c r="L23" i="27"/>
  <c r="J24" i="27"/>
  <c r="J25" i="27" l="1"/>
  <c r="T24" i="27"/>
  <c r="U23" i="27"/>
  <c r="L24" i="27"/>
  <c r="L25" i="27" l="1"/>
  <c r="T25" i="27"/>
  <c r="U24" i="27"/>
  <c r="J26" i="27"/>
  <c r="J27" i="27" s="1"/>
  <c r="J28" i="27" s="1"/>
  <c r="L26" i="27" l="1"/>
  <c r="L27" i="27" s="1"/>
  <c r="L28" i="27" s="1"/>
  <c r="T26" i="27"/>
  <c r="T27" i="27" s="1"/>
  <c r="U25" i="27"/>
  <c r="T28" i="27" l="1"/>
  <c r="U27" i="27"/>
  <c r="U26" i="27"/>
  <c r="U28" i="27" l="1"/>
  <c r="L31" i="27"/>
  <c r="T4" i="26" l="1"/>
  <c r="P4" i="26"/>
  <c r="P5" i="26" s="1"/>
  <c r="P6" i="26" s="1"/>
  <c r="P7" i="26" s="1"/>
  <c r="P8" i="26" s="1"/>
  <c r="P9" i="26" s="1"/>
  <c r="P10" i="26" s="1"/>
  <c r="P11" i="26" s="1"/>
  <c r="P12" i="26" s="1"/>
  <c r="P13" i="26" s="1"/>
  <c r="P14" i="26" s="1"/>
  <c r="P15" i="26" s="1"/>
  <c r="P16" i="26" s="1"/>
  <c r="P17" i="26" s="1"/>
  <c r="P18" i="26" s="1"/>
  <c r="P19" i="26" s="1"/>
  <c r="P20" i="26" s="1"/>
  <c r="P21" i="26" s="1"/>
  <c r="P22" i="26" s="1"/>
  <c r="P23" i="26" s="1"/>
  <c r="P24" i="26" s="1"/>
  <c r="P25" i="26" s="1"/>
  <c r="P26" i="26" s="1"/>
  <c r="P27" i="26" s="1"/>
  <c r="P30" i="26" s="1"/>
  <c r="N4" i="26"/>
  <c r="N5" i="26" s="1"/>
  <c r="N6" i="26" s="1"/>
  <c r="N7" i="26" s="1"/>
  <c r="N8" i="26" s="1"/>
  <c r="N9" i="26" s="1"/>
  <c r="N10" i="26" s="1"/>
  <c r="N11" i="26" s="1"/>
  <c r="N12" i="26" s="1"/>
  <c r="N13" i="26" s="1"/>
  <c r="N14" i="26" s="1"/>
  <c r="N15" i="26" s="1"/>
  <c r="N16" i="26" s="1"/>
  <c r="N17" i="26" s="1"/>
  <c r="N18" i="26" s="1"/>
  <c r="N19" i="26" s="1"/>
  <c r="N20" i="26" s="1"/>
  <c r="N21" i="26" s="1"/>
  <c r="N22" i="26" s="1"/>
  <c r="N23" i="26" s="1"/>
  <c r="N24" i="26" s="1"/>
  <c r="N25" i="26" s="1"/>
  <c r="N26" i="26" s="1"/>
  <c r="N27" i="26" s="1"/>
  <c r="L4" i="26"/>
  <c r="L5" i="26" s="1"/>
  <c r="L6" i="26" s="1"/>
  <c r="L7" i="26" s="1"/>
  <c r="J4" i="26"/>
  <c r="J5" i="26" s="1"/>
  <c r="H4" i="26"/>
  <c r="H5" i="26" s="1"/>
  <c r="H6" i="26" s="1"/>
  <c r="H7" i="26" s="1"/>
  <c r="H8" i="26" s="1"/>
  <c r="H9" i="26" s="1"/>
  <c r="H10" i="26" s="1"/>
  <c r="H11" i="26" s="1"/>
  <c r="H12" i="26" s="1"/>
  <c r="H13" i="26" s="1"/>
  <c r="H14" i="26" s="1"/>
  <c r="H15" i="26" s="1"/>
  <c r="H16" i="26" s="1"/>
  <c r="H17" i="26" s="1"/>
  <c r="H18" i="26" s="1"/>
  <c r="H19" i="26" s="1"/>
  <c r="H20" i="26" s="1"/>
  <c r="H21" i="26" s="1"/>
  <c r="H22" i="26" s="1"/>
  <c r="H23" i="26" s="1"/>
  <c r="H24" i="26" s="1"/>
  <c r="H25" i="26" s="1"/>
  <c r="H26" i="26" s="1"/>
  <c r="H30" i="26" s="1"/>
  <c r="F4" i="26"/>
  <c r="F5" i="26" s="1"/>
  <c r="F6" i="26" s="1"/>
  <c r="F7" i="26" s="1"/>
  <c r="F8" i="26" s="1"/>
  <c r="F9" i="26" s="1"/>
  <c r="F10" i="26" s="1"/>
  <c r="F11" i="26" s="1"/>
  <c r="F12" i="26" s="1"/>
  <c r="F13" i="26" s="1"/>
  <c r="F14" i="26" s="1"/>
  <c r="F15" i="26" s="1"/>
  <c r="F16" i="26" s="1"/>
  <c r="F17" i="26" s="1"/>
  <c r="F18" i="26" s="1"/>
  <c r="F19" i="26" s="1"/>
  <c r="F20" i="26" s="1"/>
  <c r="F21" i="26" s="1"/>
  <c r="F22" i="26" s="1"/>
  <c r="F23" i="26" s="1"/>
  <c r="F24" i="26" s="1"/>
  <c r="F25" i="26" s="1"/>
  <c r="F26" i="26" s="1"/>
  <c r="F27" i="26" s="1"/>
  <c r="T5" i="26" l="1"/>
  <c r="L8" i="26"/>
  <c r="R4" i="26"/>
  <c r="R5" i="26" s="1"/>
  <c r="R6" i="26" s="1"/>
  <c r="R7" i="26" s="1"/>
  <c r="R8" i="26" s="1"/>
  <c r="R9" i="26" s="1"/>
  <c r="R10" i="26" s="1"/>
  <c r="R11" i="26" s="1"/>
  <c r="R12" i="26" s="1"/>
  <c r="R13" i="26" s="1"/>
  <c r="R14" i="26" s="1"/>
  <c r="R15" i="26" s="1"/>
  <c r="R16" i="26" s="1"/>
  <c r="R17" i="26" s="1"/>
  <c r="R18" i="26" s="1"/>
  <c r="R19" i="26" s="1"/>
  <c r="R20" i="26" s="1"/>
  <c r="R21" i="26" s="1"/>
  <c r="R22" i="26" s="1"/>
  <c r="R23" i="26" s="1"/>
  <c r="R24" i="26" s="1"/>
  <c r="R25" i="26" s="1"/>
  <c r="R26" i="26" s="1"/>
  <c r="R27" i="26" s="1"/>
  <c r="J6" i="26"/>
  <c r="T6" i="26" l="1"/>
  <c r="U5" i="26"/>
  <c r="L9" i="26"/>
  <c r="J7" i="26"/>
  <c r="U4" i="26"/>
  <c r="J8" i="26" l="1"/>
  <c r="L10" i="26"/>
  <c r="U6" i="26"/>
  <c r="T7" i="26"/>
  <c r="U7" i="26" l="1"/>
  <c r="T8" i="26"/>
  <c r="L11" i="26"/>
  <c r="J9" i="26"/>
  <c r="J10" i="26" l="1"/>
  <c r="L12" i="26"/>
  <c r="T9" i="26"/>
  <c r="U8" i="26"/>
  <c r="U9" i="26" l="1"/>
  <c r="T10" i="26"/>
  <c r="L13" i="26"/>
  <c r="J11" i="26"/>
  <c r="J12" i="26" l="1"/>
  <c r="L14" i="26"/>
  <c r="T11" i="26"/>
  <c r="U10" i="26"/>
  <c r="L15" i="26" l="1"/>
  <c r="T12" i="26"/>
  <c r="U11" i="26"/>
  <c r="J13" i="26"/>
  <c r="J14" i="26" l="1"/>
  <c r="T13" i="26"/>
  <c r="U12" i="26"/>
  <c r="L16" i="26"/>
  <c r="L17" i="26" l="1"/>
  <c r="T14" i="26"/>
  <c r="U13" i="26"/>
  <c r="J15" i="26"/>
  <c r="L18" i="26" l="1"/>
  <c r="J16" i="26"/>
  <c r="U14" i="26"/>
  <c r="T15" i="26"/>
  <c r="L19" i="26" l="1"/>
  <c r="T16" i="26"/>
  <c r="U15" i="26"/>
  <c r="J17" i="26"/>
  <c r="J18" i="26" l="1"/>
  <c r="T17" i="26"/>
  <c r="U16" i="26"/>
  <c r="L20" i="26"/>
  <c r="L21" i="26" l="1"/>
  <c r="U17" i="26"/>
  <c r="T18" i="26"/>
  <c r="J19" i="26"/>
  <c r="J20" i="26" l="1"/>
  <c r="T19" i="26"/>
  <c r="U18" i="26"/>
  <c r="L22" i="26"/>
  <c r="L23" i="26" l="1"/>
  <c r="U19" i="26"/>
  <c r="T20" i="26"/>
  <c r="J21" i="26"/>
  <c r="L24" i="26" l="1"/>
  <c r="J22" i="26"/>
  <c r="T21" i="26"/>
  <c r="U20" i="26"/>
  <c r="L25" i="26" l="1"/>
  <c r="T22" i="26"/>
  <c r="U21" i="26"/>
  <c r="J23" i="26"/>
  <c r="J24" i="26" l="1"/>
  <c r="U22" i="26"/>
  <c r="T23" i="26"/>
  <c r="L26" i="26"/>
  <c r="L27" i="26" s="1"/>
  <c r="J25" i="26" l="1"/>
  <c r="T24" i="26"/>
  <c r="U24" i="26" s="1"/>
  <c r="U23" i="26"/>
  <c r="J26" i="26" l="1"/>
  <c r="J27" i="26" s="1"/>
  <c r="L30" i="26" s="1"/>
  <c r="T25" i="26"/>
  <c r="U25" i="26" s="1"/>
  <c r="T26" i="26" l="1"/>
  <c r="U26" i="26" l="1"/>
  <c r="T27" i="26"/>
  <c r="U27" i="26" l="1"/>
  <c r="T30" i="26"/>
  <c r="J4" i="8" l="1"/>
  <c r="J5" i="8" s="1"/>
  <c r="J6" i="8" s="1"/>
  <c r="J7" i="8" s="1"/>
  <c r="J8" i="8" s="1"/>
  <c r="J9" i="8" s="1"/>
  <c r="J10" i="8" s="1"/>
  <c r="J11" i="8" s="1"/>
  <c r="J12" i="8" s="1"/>
  <c r="J13" i="8" s="1"/>
  <c r="J14" i="8" s="1"/>
  <c r="J15" i="8" s="1"/>
  <c r="J16" i="8" s="1"/>
  <c r="J17" i="8" s="1"/>
  <c r="J18" i="8" s="1"/>
  <c r="J19" i="8" s="1"/>
  <c r="J20" i="8" s="1"/>
  <c r="J21" i="8" s="1"/>
  <c r="J22" i="8" s="1"/>
  <c r="J23" i="8" s="1"/>
  <c r="J24" i="8" s="1"/>
  <c r="J25" i="8" s="1"/>
  <c r="J26" i="8" s="1"/>
  <c r="J27" i="8" s="1"/>
  <c r="J28" i="8" s="1"/>
  <c r="F6" i="8"/>
  <c r="F7" i="8" s="1"/>
  <c r="F8" i="8" s="1"/>
  <c r="F9" i="8" s="1"/>
  <c r="F10" i="8" s="1"/>
  <c r="F11" i="8" s="1"/>
  <c r="F12" i="8" s="1"/>
  <c r="F13" i="8" s="1"/>
  <c r="F14" i="8" s="1"/>
  <c r="F15" i="8" s="1"/>
  <c r="F16" i="8" s="1"/>
  <c r="F17" i="8" s="1"/>
  <c r="F18" i="8" s="1"/>
  <c r="F19" i="8" s="1"/>
  <c r="F20" i="8" s="1"/>
  <c r="F21" i="8" s="1"/>
  <c r="F22" i="8" s="1"/>
  <c r="F23" i="8" s="1"/>
  <c r="F24" i="8" s="1"/>
  <c r="F25" i="8" s="1"/>
  <c r="F26" i="8" s="1"/>
  <c r="F27" i="8" s="1"/>
  <c r="F28" i="8" s="1"/>
</calcChain>
</file>

<file path=xl/sharedStrings.xml><?xml version="1.0" encoding="utf-8"?>
<sst xmlns="http://schemas.openxmlformats.org/spreadsheetml/2006/main" count="747" uniqueCount="167">
  <si>
    <t>Housing</t>
  </si>
  <si>
    <t>Quarterly Projection of Housing Units</t>
  </si>
  <si>
    <t xml:space="preserve">Total Projection of Housing Units </t>
  </si>
  <si>
    <t xml:space="preserve">Quarterly Actual Number of Housing Units </t>
  </si>
  <si>
    <t xml:space="preserve">Total Housing Units </t>
  </si>
  <si>
    <t>Public Facilities</t>
  </si>
  <si>
    <t xml:space="preserve">PROJECTED Watershed Practices </t>
  </si>
  <si>
    <t xml:space="preserve">ACTUAL Watershed Practices </t>
  </si>
  <si>
    <t>PROJECTED 
Construction/
Reconstruction of water/sewer lines or systems</t>
  </si>
  <si>
    <t>ACTUAL 
Construction/
Reconstruction of water/sewer lines or systems</t>
  </si>
  <si>
    <t>Planning</t>
  </si>
  <si>
    <t>Quarterly Projection Plans or Planning Products</t>
  </si>
  <si>
    <t>Total Projection of Plans or Planning Products</t>
  </si>
  <si>
    <t>Quarterly Actual Plans or Planning Products</t>
  </si>
  <si>
    <t>Total Plans or Planning Products</t>
  </si>
  <si>
    <t>Quarterly Expenditures</t>
  </si>
  <si>
    <t>Projected Expenditures</t>
  </si>
  <si>
    <t xml:space="preserve">Quarterly Actual Expenditures </t>
  </si>
  <si>
    <t>Actual Expenditures</t>
  </si>
  <si>
    <t>BALANCE</t>
  </si>
  <si>
    <t xml:space="preserve">Non-Housing </t>
  </si>
  <si>
    <t>Planning and Admin</t>
  </si>
  <si>
    <t>Quarterly Projections</t>
  </si>
  <si>
    <t>Housing: 971, 733, 734</t>
  </si>
  <si>
    <t>Non-Housing: 55, 69, 173</t>
  </si>
  <si>
    <t>Planning: 172</t>
  </si>
  <si>
    <t>Admin: 181</t>
  </si>
  <si>
    <t xml:space="preserve">Total Activities: </t>
  </si>
  <si>
    <t>Total:</t>
  </si>
  <si>
    <t xml:space="preserve">DUBUQUE BEE BRANCH HEALTHY HOMES RESILIENCY PROGRAM </t>
  </si>
  <si>
    <t>Activity Center</t>
  </si>
  <si>
    <t xml:space="preserve">Activity 733 - Single Family Rental </t>
  </si>
  <si>
    <t xml:space="preserve">Activity 734 - Multi-Family Rental </t>
  </si>
  <si>
    <t xml:space="preserve">Activity 971 - Housing Repair &amp; Rehab LMI </t>
  </si>
  <si>
    <t>Activity 181 - Administration</t>
  </si>
  <si>
    <t>Total All Activities</t>
  </si>
  <si>
    <t>Total Units</t>
  </si>
  <si>
    <t xml:space="preserve">Year </t>
  </si>
  <si>
    <t xml:space="preserve">Quarter </t>
  </si>
  <si>
    <t>Start Date</t>
  </si>
  <si>
    <t>End Date</t>
  </si>
  <si>
    <t>Quarter Projection</t>
  </si>
  <si>
    <t xml:space="preserve">Cumulative Paid Projection </t>
  </si>
  <si>
    <t xml:space="preserve">Actual Quarter Paid </t>
  </si>
  <si>
    <t xml:space="preserve">Actual Total Paid </t>
  </si>
  <si>
    <t xml:space="preserve">Actual Cumulative &amp; Paid </t>
  </si>
  <si>
    <t>Year</t>
  </si>
  <si>
    <t>Quarter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</si>
  <si>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</si>
  <si>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</si>
  <si>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</si>
  <si>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</si>
  <si>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</si>
  <si>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</si>
  <si>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</si>
  <si>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</si>
  <si>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</si>
  <si>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</si>
  <si>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</si>
  <si>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Column12</t>
  </si>
  <si>
    <t>Column13</t>
  </si>
  <si>
    <t>Column14</t>
  </si>
  <si>
    <t>Column15</t>
  </si>
  <si>
    <t>Column16</t>
  </si>
  <si>
    <t>Column17</t>
  </si>
  <si>
    <t>Column18</t>
  </si>
  <si>
    <t>Column19</t>
  </si>
  <si>
    <t>Column20</t>
  </si>
  <si>
    <t>Column202</t>
  </si>
  <si>
    <t>Column21</t>
  </si>
  <si>
    <t>Column22</t>
  </si>
  <si>
    <t>TOTAL</t>
  </si>
  <si>
    <t>BENTON COUNTY CONTRACT SPENDING SUMMARY</t>
  </si>
  <si>
    <t>Activity 172 - Watershed Plan</t>
  </si>
  <si>
    <t>Activity 173 - Design &amp; Construction</t>
  </si>
  <si>
    <t>Quarter $ Projection</t>
  </si>
  <si>
    <t>Cumulative $ Paid Projection</t>
  </si>
  <si>
    <t>Actual Quarter $ Paid</t>
  </si>
  <si>
    <t>Actual Total $ Paid</t>
  </si>
  <si>
    <t>Quarter $ Projection2</t>
  </si>
  <si>
    <t>Cumulative $ Paid Projection3</t>
  </si>
  <si>
    <t>Actual Quarter $ Paid4</t>
  </si>
  <si>
    <t>Actual Total $ Paid5</t>
  </si>
  <si>
    <t>Quarter $ Projection6</t>
  </si>
  <si>
    <t>Cumulative $ Paid Projection7</t>
  </si>
  <si>
    <t>Actual Quarter $ Paid8</t>
  </si>
  <si>
    <t>Actual Total $ Paid9</t>
  </si>
  <si>
    <t>Quarter $ Projection10</t>
  </si>
  <si>
    <t>Cumulative $ Paid Projection11</t>
  </si>
  <si>
    <t>Actual Quarter $ Paid12</t>
  </si>
  <si>
    <t>Actual Total $ Paid13</t>
  </si>
  <si>
    <t>Actual Cumulative % Paid</t>
  </si>
  <si>
    <t>BUENA VISTA COUNTY CONTRACT SPENDING SUMMARY</t>
  </si>
  <si>
    <t>Cumulative $ paid Projection</t>
  </si>
  <si>
    <t>Actual Quarter $ paid</t>
  </si>
  <si>
    <t>Actual Total $ paid</t>
  </si>
  <si>
    <t>Actual Cumulative % paid</t>
  </si>
  <si>
    <t>FREMONT COUNTY CONTRACT SPENDING SUMMARY</t>
  </si>
  <si>
    <t>Column25</t>
  </si>
  <si>
    <t>Column26</t>
  </si>
  <si>
    <t>Column27</t>
  </si>
  <si>
    <t>Column28</t>
  </si>
  <si>
    <t>Column29</t>
  </si>
  <si>
    <t>Column30</t>
  </si>
  <si>
    <t>Column31</t>
  </si>
  <si>
    <t>Column32</t>
  </si>
  <si>
    <t>Column33</t>
  </si>
  <si>
    <t>HOWARD COUNTY CONTRACT SPENDING SUMMARY</t>
  </si>
  <si>
    <t>Column34</t>
  </si>
  <si>
    <t>Column35</t>
  </si>
  <si>
    <t>Column36</t>
  </si>
  <si>
    <t>Column37</t>
  </si>
  <si>
    <t>IOWA COUNTY CONTRACT SPENDING SUMMARY</t>
  </si>
  <si>
    <t>JOHNSON COUNTY CONTRACT SPENDING SUMMARY</t>
  </si>
  <si>
    <t>Cumulative $ Spent Projection</t>
  </si>
  <si>
    <t>Actual Quarter $ Spent</t>
  </si>
  <si>
    <t>Actual Total $ Spent</t>
  </si>
  <si>
    <t>Actual Cumulative % Spent</t>
  </si>
  <si>
    <t>MILLS COUNTY CONTRACT SPENDING SUMMARY</t>
  </si>
  <si>
    <t>WINNESHIEK COUNTY CONTRACT SPENDING SUMMARY</t>
  </si>
  <si>
    <t>Coralville CONTRACT SPENDING SUMMARY</t>
  </si>
  <si>
    <t>Activity 69 Storm Water Improvements</t>
  </si>
  <si>
    <t>Activity 181 Admin</t>
  </si>
  <si>
    <t>Dubuque CONTRACT SPENDING SUMMARY</t>
  </si>
  <si>
    <t>Activity 172 - Planning Pre App Costs</t>
  </si>
  <si>
    <t>Activity 69 - Storm Sewer Improvements</t>
  </si>
  <si>
    <t>Activity 181 - Admin</t>
  </si>
  <si>
    <t>Storm Lake CONTRACT SPENDING SUMMARY</t>
  </si>
  <si>
    <t>Activity 55- Sanitary Sewer Improvements</t>
  </si>
  <si>
    <t>Activity 69 - Storm Water Improvements</t>
  </si>
  <si>
    <t>HSEMD CONTRACT SPENDING SUMMARY</t>
  </si>
  <si>
    <t>Activity 172 Planning</t>
  </si>
  <si>
    <t xml:space="preserve">Activity 181-01 Admin </t>
  </si>
  <si>
    <t>Actual Spent</t>
  </si>
  <si>
    <t>Deliverables Projected</t>
  </si>
  <si>
    <t>Deliverables Completed</t>
  </si>
  <si>
    <t xml:space="preserve">TOTAL </t>
  </si>
  <si>
    <t xml:space="preserve">UNIVERSITY OF IOWA </t>
  </si>
  <si>
    <t xml:space="preserve">IOWA DNR </t>
  </si>
  <si>
    <t xml:space="preserve">UNIVERSITY OF NORTHERN IOWA </t>
  </si>
  <si>
    <t>IOWA STATE UNIVERSITY</t>
  </si>
  <si>
    <t xml:space="preserve">IDALS </t>
  </si>
  <si>
    <t xml:space="preserve">Total Grant </t>
  </si>
  <si>
    <t>Watershed Practices Projected</t>
  </si>
  <si>
    <t>Watershed Practices Completed</t>
  </si>
  <si>
    <t xml:space="preserve">Plans Projected </t>
  </si>
  <si>
    <t xml:space="preserve">Plans Completed </t>
  </si>
  <si>
    <t>Activity 69 Public Facilities Projected</t>
  </si>
  <si>
    <t>Activity 69 Public Facilities Completed</t>
  </si>
  <si>
    <t xml:space="preserve">Plans Proposed </t>
  </si>
  <si>
    <t>Plans Completed</t>
  </si>
  <si>
    <t>Activity 55 # Linear Feet Projected</t>
  </si>
  <si>
    <t>Activity 55 # Linear Feet Completed</t>
  </si>
  <si>
    <t>Total Watersheds Practices &amp; Public Facilities</t>
  </si>
  <si>
    <t>Quarterly Actual Number of Watershed Practices &amp; Public Facilities</t>
  </si>
  <si>
    <t>Total Projection of Watershed Practices &amp; Public Facilities</t>
  </si>
  <si>
    <t xml:space="preserve">Quarterly Projection of Watershed Practices &amp; Public Facilities </t>
  </si>
  <si>
    <t>PROJECTED 
Linear Feet</t>
  </si>
  <si>
    <t>ACTUAL Linear Feet</t>
  </si>
  <si>
    <t xml:space="preserve">Closed </t>
  </si>
  <si>
    <t>60 days expire August 30, 2022</t>
  </si>
  <si>
    <t>60 days expires November 30, 2022</t>
  </si>
  <si>
    <t>60 Days Expires August 30, 2022</t>
  </si>
  <si>
    <t>60 days expires August 30, 2022</t>
  </si>
  <si>
    <t>60 days expires March 2, 2023</t>
  </si>
  <si>
    <t xml:space="preserve">60 days expires November 30, 2022 </t>
  </si>
  <si>
    <t>60 Days Expires December 31,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</si>
</sst>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"/>
    <numFmt numFmtId="165" formatCode="_([$$-409]* #,##0_);_([$$-409]* \(#,##0\);_([$$-409]* &quot;-&quot;_);_(@_)"/>
    <numFmt numFmtId="166" formatCode="&quot;$&quot;#,##0.00"/>
    <numFmt numFmtId="167" formatCode="_(&quot;$&quot;* #,##0_);_(&quot;$&quot;* \(#,##0\);_(&quot;$&quot;* &quot;-&quot;??_);_(@_)"/>
    <numFmt numFmtId="168" formatCode="_([$$-409]* #,##0.00_);_([$$-409]* \(#,##0.00\);_([$$-409]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theme="4" tint="0.79998168889431442"/>
      </patternFill>
    </fill>
    <fill>
      <patternFill patternType="solid">
        <fgColor theme="9" tint="0.59999389629810485"/>
        <bgColor theme="4" tint="0.79998168889431442"/>
      </patternFill>
    </fill>
  </fills>
  <borders count="6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double">
        <color rgb="FFFF0000"/>
      </left>
      <right style="thin">
        <color indexed="64"/>
      </right>
      <top style="double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rgb="FFFF0000"/>
      </top>
      <bottom style="thin">
        <color indexed="64"/>
      </bottom>
      <diagonal/>
    </border>
    <border>
      <left style="thin">
        <color indexed="64"/>
      </left>
      <right style="double">
        <color rgb="FFFF0000"/>
      </right>
      <top style="double">
        <color rgb="FFFF0000"/>
      </top>
      <bottom style="thin">
        <color indexed="64"/>
      </bottom>
      <diagonal/>
    </border>
    <border>
      <left style="double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rgb="FFFF0000"/>
      </right>
      <top style="thin">
        <color indexed="64"/>
      </top>
      <bottom style="thin">
        <color indexed="64"/>
      </bottom>
      <diagonal/>
    </border>
    <border>
      <left style="double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rgb="FFFF0000"/>
      </right>
      <top/>
      <bottom style="thin">
        <color indexed="64"/>
      </bottom>
      <diagonal/>
    </border>
    <border>
      <left style="double">
        <color rgb="FFFF0000"/>
      </left>
      <right/>
      <top/>
      <bottom/>
      <diagonal/>
    </border>
    <border>
      <left style="thin">
        <color indexed="64"/>
      </left>
      <right style="double">
        <color rgb="FFFF0000"/>
      </right>
      <top style="thin">
        <color indexed="64"/>
      </top>
      <bottom/>
      <diagonal/>
    </border>
    <border>
      <left style="double">
        <color rgb="FFFF0000"/>
      </left>
      <right style="thin">
        <color theme="1"/>
      </right>
      <top style="thin">
        <color theme="1"/>
      </top>
      <bottom style="double">
        <color rgb="FFFF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double">
        <color rgb="FFFF0000"/>
      </bottom>
      <diagonal/>
    </border>
    <border>
      <left style="thin">
        <color theme="1"/>
      </left>
      <right style="double">
        <color rgb="FFFF0000"/>
      </right>
      <top style="thin">
        <color theme="1"/>
      </top>
      <bottom style="double">
        <color rgb="FFFF0000"/>
      </bottom>
      <diagonal/>
    </border>
    <border>
      <left style="double">
        <color rgb="FFFF0000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double">
        <color rgb="FFFF0000"/>
      </left>
      <right/>
      <top style="double">
        <color rgb="FFFF0000"/>
      </top>
      <bottom style="thin">
        <color indexed="64"/>
      </bottom>
      <diagonal/>
    </border>
    <border>
      <left/>
      <right/>
      <top style="double">
        <color rgb="FFFF0000"/>
      </top>
      <bottom style="thin">
        <color indexed="64"/>
      </bottom>
      <diagonal/>
    </border>
    <border>
      <left/>
      <right style="thin">
        <color indexed="64"/>
      </right>
      <top style="double">
        <color rgb="FFFF0000"/>
      </top>
      <bottom style="thin">
        <color indexed="64"/>
      </bottom>
      <diagonal/>
    </border>
    <border>
      <left/>
      <right style="double">
        <color rgb="FFFF0000"/>
      </right>
      <top/>
      <bottom/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 style="double">
        <color rgb="FFFF0000"/>
      </left>
      <right style="thin">
        <color indexed="64"/>
      </right>
      <top style="thin">
        <color indexed="64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FF0000"/>
      </bottom>
      <diagonal/>
    </border>
    <border>
      <left style="thin">
        <color indexed="64"/>
      </left>
      <right style="double">
        <color rgb="FFFF0000"/>
      </right>
      <top style="thin">
        <color indexed="64"/>
      </top>
      <bottom style="double">
        <color rgb="FFFF0000"/>
      </bottom>
      <diagonal/>
    </border>
    <border>
      <left style="double">
        <color rgb="FFFF0000"/>
      </left>
      <right/>
      <top style="double">
        <color rgb="FFFF0000"/>
      </top>
      <bottom/>
      <diagonal/>
    </border>
    <border>
      <left/>
      <right/>
      <top style="double">
        <color rgb="FFFF0000"/>
      </top>
      <bottom/>
      <diagonal/>
    </border>
    <border>
      <left/>
      <right style="double">
        <color rgb="FFFF0000"/>
      </right>
      <top style="double">
        <color rgb="FFFF0000"/>
      </top>
      <bottom/>
      <diagonal/>
    </border>
    <border>
      <left/>
      <right/>
      <top/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indexed="64"/>
      </bottom>
      <diagonal/>
    </border>
    <border>
      <left/>
      <right/>
      <top style="thin">
        <color rgb="FFFF0000"/>
      </top>
      <bottom style="thin">
        <color indexed="64"/>
      </bottom>
      <diagonal/>
    </border>
    <border>
      <left/>
      <right style="thin">
        <color rgb="FFFF0000"/>
      </right>
      <top style="thin">
        <color rgb="FFFF0000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rgb="FFFF0000"/>
      </bottom>
      <diagonal/>
    </border>
    <border>
      <left style="thin">
        <color theme="1"/>
      </left>
      <right style="double">
        <color rgb="FFFF0000"/>
      </right>
      <top style="thin">
        <color theme="1"/>
      </top>
      <bottom style="thin">
        <color theme="1"/>
      </bottom>
      <diagonal/>
    </border>
    <border>
      <left style="double">
        <color rgb="FFFF0000"/>
      </left>
      <right style="thin">
        <color indexed="64"/>
      </right>
      <top style="thin">
        <color indexed="64"/>
      </top>
      <bottom/>
      <diagonal/>
    </border>
    <border>
      <left style="double">
        <color rgb="FFFF0000"/>
      </left>
      <right style="thin">
        <color indexed="64"/>
      </right>
      <top style="double">
        <color rgb="FFFF0000"/>
      </top>
      <bottom/>
      <diagonal/>
    </border>
    <border>
      <left style="thin">
        <color indexed="64"/>
      </left>
      <right style="thin">
        <color indexed="64"/>
      </right>
      <top style="double">
        <color rgb="FFFF0000"/>
      </top>
      <bottom/>
      <diagonal/>
    </border>
    <border>
      <left style="thin">
        <color indexed="64"/>
      </left>
      <right style="double">
        <color rgb="FFFF0000"/>
      </right>
      <top style="double">
        <color rgb="FFFF0000"/>
      </top>
      <bottom/>
      <diagonal/>
    </border>
    <border>
      <left/>
      <right style="thin">
        <color indexed="64"/>
      </right>
      <top style="double">
        <color rgb="FFFF0000"/>
      </top>
      <bottom/>
      <diagonal/>
    </border>
    <border>
      <left style="double">
        <color rgb="FFFF0000"/>
      </left>
      <right style="thin">
        <color theme="1"/>
      </right>
      <top style="double">
        <color rgb="FFFF0000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double">
        <color rgb="FFFF0000"/>
      </top>
      <bottom style="thin">
        <color theme="1"/>
      </bottom>
      <diagonal/>
    </border>
    <border>
      <left style="thin">
        <color theme="1"/>
      </left>
      <right style="double">
        <color rgb="FFFF0000"/>
      </right>
      <top style="double">
        <color rgb="FFFF0000"/>
      </top>
      <bottom style="thin">
        <color theme="1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FF0000"/>
      </right>
      <top style="thin">
        <color indexed="64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7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165" fontId="3" fillId="0" borderId="2" xfId="0" applyNumberFormat="1" applyFont="1" applyBorder="1"/>
    <xf numFmtId="42" fontId="3" fillId="0" borderId="2" xfId="1" applyNumberFormat="1" applyFont="1" applyFill="1" applyBorder="1"/>
    <xf numFmtId="42" fontId="3" fillId="0" borderId="3" xfId="1" applyNumberFormat="1" applyFont="1" applyFill="1" applyBorder="1"/>
    <xf numFmtId="165" fontId="3" fillId="0" borderId="5" xfId="0" applyNumberFormat="1" applyFont="1" applyBorder="1"/>
    <xf numFmtId="42" fontId="3" fillId="0" borderId="5" xfId="1" applyNumberFormat="1" applyFont="1" applyFill="1" applyBorder="1"/>
    <xf numFmtId="42" fontId="3" fillId="0" borderId="6" xfId="1" applyNumberFormat="1" applyFont="1" applyFill="1" applyBorder="1"/>
    <xf numFmtId="0" fontId="3" fillId="0" borderId="0" xfId="0" applyFont="1"/>
    <xf numFmtId="42" fontId="3" fillId="0" borderId="0" xfId="0" applyNumberFormat="1" applyFont="1"/>
    <xf numFmtId="2" fontId="0" fillId="0" borderId="0" xfId="0" applyNumberFormat="1"/>
    <xf numFmtId="42" fontId="0" fillId="0" borderId="0" xfId="0" applyNumberFormat="1"/>
    <xf numFmtId="164" fontId="0" fillId="0" borderId="0" xfId="0" applyNumberFormat="1"/>
    <xf numFmtId="1" fontId="0" fillId="0" borderId="0" xfId="0" applyNumberFormat="1"/>
    <xf numFmtId="0" fontId="1" fillId="0" borderId="0" xfId="0" applyFont="1"/>
    <xf numFmtId="0" fontId="1" fillId="0" borderId="2" xfId="0" applyFont="1" applyBorder="1"/>
    <xf numFmtId="0" fontId="3" fillId="0" borderId="2" xfId="0" applyFont="1" applyBorder="1" applyAlignment="1">
      <alignment horizontal="center" vertical="top" wrapText="1"/>
    </xf>
    <xf numFmtId="2" fontId="1" fillId="0" borderId="0" xfId="0" applyNumberFormat="1" applyFont="1"/>
    <xf numFmtId="0" fontId="2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14" fontId="0" fillId="0" borderId="0" xfId="0" applyNumberFormat="1"/>
    <xf numFmtId="0" fontId="0" fillId="0" borderId="0" xfId="0" applyAlignment="1">
      <alignment horizontal="center"/>
    </xf>
    <xf numFmtId="0" fontId="2" fillId="10" borderId="9" xfId="0" applyFont="1" applyFill="1" applyBorder="1"/>
    <xf numFmtId="49" fontId="2" fillId="10" borderId="9" xfId="0" applyNumberFormat="1" applyFont="1" applyFill="1" applyBorder="1" applyAlignment="1">
      <alignment horizontal="right"/>
    </xf>
    <xf numFmtId="3" fontId="0" fillId="0" borderId="0" xfId="0" applyNumberFormat="1"/>
    <xf numFmtId="0" fontId="9" fillId="0" borderId="0" xfId="0" applyFont="1"/>
    <xf numFmtId="0" fontId="9" fillId="0" borderId="2" xfId="0" applyFont="1" applyBorder="1" applyAlignment="1">
      <alignment vertical="center" wrapText="1"/>
    </xf>
    <xf numFmtId="14" fontId="9" fillId="0" borderId="2" xfId="0" applyNumberFormat="1" applyFont="1" applyBorder="1" applyAlignment="1">
      <alignment vertical="center" wrapText="1"/>
    </xf>
    <xf numFmtId="167" fontId="0" fillId="0" borderId="0" xfId="1" applyNumberFormat="1" applyFont="1"/>
    <xf numFmtId="167" fontId="0" fillId="0" borderId="0" xfId="0" applyNumberFormat="1"/>
    <xf numFmtId="0" fontId="10" fillId="0" borderId="0" xfId="0" applyFont="1"/>
    <xf numFmtId="0" fontId="0" fillId="11" borderId="0" xfId="0" applyFill="1"/>
    <xf numFmtId="44" fontId="0" fillId="0" borderId="2" xfId="1" applyFont="1" applyFill="1" applyBorder="1"/>
    <xf numFmtId="0" fontId="0" fillId="6" borderId="0" xfId="0" applyFill="1"/>
    <xf numFmtId="42" fontId="3" fillId="0" borderId="0" xfId="1" applyNumberFormat="1" applyFont="1" applyFill="1" applyBorder="1"/>
    <xf numFmtId="44" fontId="3" fillId="0" borderId="0" xfId="0" applyNumberFormat="1" applyFont="1"/>
    <xf numFmtId="0" fontId="3" fillId="0" borderId="3" xfId="0" applyFont="1" applyBorder="1" applyAlignment="1">
      <alignment horizontal="center" vertical="top" wrapText="1"/>
    </xf>
    <xf numFmtId="2" fontId="3" fillId="0" borderId="5" xfId="0" applyNumberFormat="1" applyFont="1" applyBorder="1"/>
    <xf numFmtId="0" fontId="4" fillId="0" borderId="11" xfId="0" applyFont="1" applyBorder="1" applyAlignment="1">
      <alignment horizontal="center"/>
    </xf>
    <xf numFmtId="0" fontId="4" fillId="0" borderId="11" xfId="0" applyFont="1" applyBorder="1"/>
    <xf numFmtId="42" fontId="3" fillId="0" borderId="0" xfId="1" applyNumberFormat="1" applyFont="1" applyFill="1"/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44" fontId="3" fillId="0" borderId="20" xfId="1" applyFont="1" applyFill="1" applyBorder="1"/>
    <xf numFmtId="165" fontId="3" fillId="0" borderId="17" xfId="0" applyNumberFormat="1" applyFont="1" applyBorder="1"/>
    <xf numFmtId="165" fontId="3" fillId="0" borderId="21" xfId="0" applyNumberFormat="1" applyFont="1" applyBorder="1"/>
    <xf numFmtId="164" fontId="0" fillId="0" borderId="22" xfId="0" applyNumberFormat="1" applyBorder="1"/>
    <xf numFmtId="0" fontId="4" fillId="0" borderId="23" xfId="0" applyFont="1" applyBorder="1" applyAlignment="1">
      <alignment horizontal="center"/>
    </xf>
    <xf numFmtId="164" fontId="4" fillId="0" borderId="24" xfId="0" applyNumberFormat="1" applyFont="1" applyBorder="1"/>
    <xf numFmtId="0" fontId="3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44" fontId="3" fillId="0" borderId="20" xfId="0" applyNumberFormat="1" applyFont="1" applyBorder="1"/>
    <xf numFmtId="42" fontId="3" fillId="0" borderId="17" xfId="1" applyNumberFormat="1" applyFont="1" applyFill="1" applyBorder="1"/>
    <xf numFmtId="42" fontId="3" fillId="0" borderId="21" xfId="1" applyNumberFormat="1" applyFont="1" applyFill="1" applyBorder="1"/>
    <xf numFmtId="42" fontId="4" fillId="0" borderId="22" xfId="0" applyNumberFormat="1" applyFont="1" applyBorder="1"/>
    <xf numFmtId="42" fontId="0" fillId="0" borderId="22" xfId="0" applyNumberFormat="1" applyBorder="1"/>
    <xf numFmtId="2" fontId="3" fillId="0" borderId="15" xfId="0" applyNumberFormat="1" applyFont="1" applyBorder="1" applyAlignment="1">
      <alignment wrapText="1"/>
    </xf>
    <xf numFmtId="2" fontId="3" fillId="0" borderId="17" xfId="0" applyNumberFormat="1" applyFont="1" applyBorder="1" applyAlignment="1">
      <alignment horizontal="center" vertical="top" wrapText="1"/>
    </xf>
    <xf numFmtId="42" fontId="3" fillId="0" borderId="16" xfId="1" applyNumberFormat="1" applyFont="1" applyFill="1" applyBorder="1"/>
    <xf numFmtId="2" fontId="3" fillId="0" borderId="17" xfId="0" applyNumberFormat="1" applyFont="1" applyBorder="1"/>
    <xf numFmtId="2" fontId="3" fillId="0" borderId="21" xfId="0" applyNumberFormat="1" applyFont="1" applyBorder="1"/>
    <xf numFmtId="164" fontId="4" fillId="0" borderId="23" xfId="0" applyNumberFormat="1" applyFont="1" applyBorder="1"/>
    <xf numFmtId="2" fontId="2" fillId="0" borderId="24" xfId="0" applyNumberFormat="1" applyFont="1" applyBorder="1"/>
    <xf numFmtId="0" fontId="4" fillId="0" borderId="12" xfId="0" applyFont="1" applyBorder="1"/>
    <xf numFmtId="0" fontId="3" fillId="9" borderId="2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14" fontId="3" fillId="9" borderId="2" xfId="0" applyNumberFormat="1" applyFont="1" applyFill="1" applyBorder="1" applyAlignment="1">
      <alignment vertical="center" wrapText="1"/>
    </xf>
    <xf numFmtId="14" fontId="3" fillId="9" borderId="3" xfId="0" applyNumberFormat="1" applyFont="1" applyFill="1" applyBorder="1" applyAlignment="1">
      <alignment vertical="center" wrapText="1"/>
    </xf>
    <xf numFmtId="0" fontId="3" fillId="9" borderId="5" xfId="0" applyFont="1" applyFill="1" applyBorder="1" applyAlignment="1">
      <alignment horizontal="center" vertical="center" wrapText="1"/>
    </xf>
    <xf numFmtId="14" fontId="3" fillId="9" borderId="5" xfId="0" applyNumberFormat="1" applyFont="1" applyFill="1" applyBorder="1" applyAlignment="1">
      <alignment vertical="center" wrapText="1"/>
    </xf>
    <xf numFmtId="14" fontId="3" fillId="9" borderId="6" xfId="0" applyNumberFormat="1" applyFont="1" applyFill="1" applyBorder="1" applyAlignment="1">
      <alignment vertical="center" wrapText="1"/>
    </xf>
    <xf numFmtId="0" fontId="3" fillId="9" borderId="0" xfId="0" applyFont="1" applyFill="1" applyAlignment="1">
      <alignment horizontal="center" vertical="center" wrapText="1"/>
    </xf>
    <xf numFmtId="14" fontId="3" fillId="9" borderId="0" xfId="0" applyNumberFormat="1" applyFont="1" applyFill="1" applyAlignment="1">
      <alignment vertical="center" wrapText="1"/>
    </xf>
    <xf numFmtId="165" fontId="3" fillId="0" borderId="0" xfId="0" applyNumberFormat="1" applyFont="1"/>
    <xf numFmtId="44" fontId="0" fillId="0" borderId="0" xfId="0" applyNumberFormat="1"/>
    <xf numFmtId="164" fontId="3" fillId="0" borderId="2" xfId="1" applyNumberFormat="1" applyFont="1" applyFill="1" applyBorder="1"/>
    <xf numFmtId="0" fontId="3" fillId="8" borderId="2" xfId="0" applyFont="1" applyFill="1" applyBorder="1" applyAlignment="1">
      <alignment horizontal="center" vertical="center" wrapText="1"/>
    </xf>
    <xf numFmtId="14" fontId="3" fillId="8" borderId="2" xfId="0" applyNumberFormat="1" applyFont="1" applyFill="1" applyBorder="1" applyAlignment="1">
      <alignment vertical="center" wrapText="1"/>
    </xf>
    <xf numFmtId="0" fontId="3" fillId="8" borderId="0" xfId="0" applyFont="1" applyFill="1" applyAlignment="1">
      <alignment horizontal="center" vertical="center" wrapText="1"/>
    </xf>
    <xf numFmtId="0" fontId="4" fillId="8" borderId="11" xfId="0" applyFont="1" applyFill="1" applyBorder="1" applyAlignment="1">
      <alignment horizontal="center"/>
    </xf>
    <xf numFmtId="0" fontId="4" fillId="8" borderId="11" xfId="0" applyFont="1" applyFill="1" applyBorder="1"/>
    <xf numFmtId="0" fontId="3" fillId="8" borderId="3" xfId="0" applyFont="1" applyFill="1" applyBorder="1" applyAlignment="1">
      <alignment horizontal="center" vertical="center" wrapText="1"/>
    </xf>
    <xf numFmtId="14" fontId="3" fillId="8" borderId="3" xfId="0" applyNumberFormat="1" applyFont="1" applyFill="1" applyBorder="1" applyAlignment="1">
      <alignment vertical="center" wrapText="1"/>
    </xf>
    <xf numFmtId="0" fontId="4" fillId="8" borderId="12" xfId="0" applyFont="1" applyFill="1" applyBorder="1"/>
    <xf numFmtId="165" fontId="3" fillId="0" borderId="29" xfId="0" applyNumberFormat="1" applyFont="1" applyBorder="1"/>
    <xf numFmtId="164" fontId="4" fillId="0" borderId="22" xfId="0" applyNumberFormat="1" applyFont="1" applyBorder="1"/>
    <xf numFmtId="165" fontId="3" fillId="0" borderId="16" xfId="0" applyNumberFormat="1" applyFont="1" applyBorder="1"/>
    <xf numFmtId="164" fontId="3" fillId="0" borderId="0" xfId="0" applyNumberFormat="1" applyFont="1"/>
    <xf numFmtId="166" fontId="3" fillId="0" borderId="0" xfId="0" applyNumberFormat="1" applyFont="1"/>
    <xf numFmtId="0" fontId="3" fillId="9" borderId="2" xfId="0" applyFont="1" applyFill="1" applyBorder="1" applyAlignment="1">
      <alignment horizontal="center" vertical="top" wrapText="1"/>
    </xf>
    <xf numFmtId="165" fontId="3" fillId="9" borderId="2" xfId="0" applyNumberFormat="1" applyFont="1" applyFill="1" applyBorder="1"/>
    <xf numFmtId="42" fontId="3" fillId="9" borderId="2" xfId="1" applyNumberFormat="1" applyFont="1" applyFill="1" applyBorder="1"/>
    <xf numFmtId="0" fontId="3" fillId="9" borderId="16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165" fontId="3" fillId="9" borderId="16" xfId="0" applyNumberFormat="1" applyFont="1" applyFill="1" applyBorder="1"/>
    <xf numFmtId="165" fontId="3" fillId="9" borderId="17" xfId="0" applyNumberFormat="1" applyFont="1" applyFill="1" applyBorder="1"/>
    <xf numFmtId="164" fontId="4" fillId="0" borderId="31" xfId="0" applyNumberFormat="1" applyFont="1" applyBorder="1"/>
    <xf numFmtId="0" fontId="4" fillId="0" borderId="33" xfId="0" applyFont="1" applyBorder="1" applyAlignment="1">
      <alignment horizontal="center"/>
    </xf>
    <xf numFmtId="164" fontId="4" fillId="0" borderId="34" xfId="0" applyNumberFormat="1" applyFont="1" applyBorder="1"/>
    <xf numFmtId="0" fontId="3" fillId="9" borderId="16" xfId="0" applyFont="1" applyFill="1" applyBorder="1" applyAlignment="1">
      <alignment horizontal="center" vertical="top" wrapText="1"/>
    </xf>
    <xf numFmtId="0" fontId="3" fillId="9" borderId="17" xfId="0" applyFont="1" applyFill="1" applyBorder="1" applyAlignment="1">
      <alignment horizontal="center" vertical="top" wrapText="1"/>
    </xf>
    <xf numFmtId="42" fontId="3" fillId="9" borderId="16" xfId="1" applyNumberFormat="1" applyFont="1" applyFill="1" applyBorder="1"/>
    <xf numFmtId="42" fontId="3" fillId="9" borderId="17" xfId="1" applyNumberFormat="1" applyFont="1" applyFill="1" applyBorder="1"/>
    <xf numFmtId="0" fontId="3" fillId="9" borderId="0" xfId="0" applyFont="1" applyFill="1"/>
    <xf numFmtId="2" fontId="3" fillId="9" borderId="15" xfId="0" applyNumberFormat="1" applyFont="1" applyFill="1" applyBorder="1" applyAlignment="1">
      <alignment wrapText="1"/>
    </xf>
    <xf numFmtId="2" fontId="3" fillId="9" borderId="17" xfId="0" applyNumberFormat="1" applyFont="1" applyFill="1" applyBorder="1" applyAlignment="1">
      <alignment horizontal="center" vertical="top" wrapText="1"/>
    </xf>
    <xf numFmtId="2" fontId="3" fillId="9" borderId="17" xfId="0" applyNumberFormat="1" applyFont="1" applyFill="1" applyBorder="1"/>
    <xf numFmtId="164" fontId="4" fillId="0" borderId="33" xfId="0" applyNumberFormat="1" applyFont="1" applyBorder="1"/>
    <xf numFmtId="2" fontId="2" fillId="0" borderId="34" xfId="0" applyNumberFormat="1" applyFont="1" applyBorder="1"/>
    <xf numFmtId="166" fontId="0" fillId="0" borderId="0" xfId="0" applyNumberFormat="1"/>
    <xf numFmtId="42" fontId="4" fillId="0" borderId="31" xfId="0" applyNumberFormat="1" applyFont="1" applyBorder="1"/>
    <xf numFmtId="2" fontId="3" fillId="8" borderId="15" xfId="0" applyNumberFormat="1" applyFont="1" applyFill="1" applyBorder="1" applyAlignment="1">
      <alignment wrapText="1"/>
    </xf>
    <xf numFmtId="0" fontId="4" fillId="9" borderId="2" xfId="0" applyFont="1" applyFill="1" applyBorder="1" applyAlignment="1">
      <alignment horizontal="center"/>
    </xf>
    <xf numFmtId="0" fontId="4" fillId="9" borderId="2" xfId="0" applyFont="1" applyFill="1" applyBorder="1"/>
    <xf numFmtId="0" fontId="4" fillId="9" borderId="3" xfId="0" applyFont="1" applyFill="1" applyBorder="1"/>
    <xf numFmtId="0" fontId="3" fillId="8" borderId="2" xfId="0" applyFont="1" applyFill="1" applyBorder="1" applyAlignment="1">
      <alignment horizontal="center" vertical="top" wrapText="1"/>
    </xf>
    <xf numFmtId="0" fontId="3" fillId="8" borderId="20" xfId="0" applyFont="1" applyFill="1" applyBorder="1" applyAlignment="1">
      <alignment horizontal="center" vertical="center" wrapText="1"/>
    </xf>
    <xf numFmtId="0" fontId="3" fillId="8" borderId="29" xfId="0" applyFont="1" applyFill="1" applyBorder="1" applyAlignment="1">
      <alignment horizontal="center" vertical="center" wrapText="1"/>
    </xf>
    <xf numFmtId="165" fontId="3" fillId="0" borderId="20" xfId="0" applyNumberFormat="1" applyFont="1" applyBorder="1"/>
    <xf numFmtId="164" fontId="4" fillId="0" borderId="30" xfId="0" applyNumberFormat="1" applyFont="1" applyBorder="1"/>
    <xf numFmtId="0" fontId="4" fillId="0" borderId="38" xfId="0" applyFont="1" applyBorder="1" applyAlignment="1">
      <alignment horizontal="center"/>
    </xf>
    <xf numFmtId="164" fontId="4" fillId="0" borderId="39" xfId="0" applyNumberFormat="1" applyFont="1" applyBorder="1"/>
    <xf numFmtId="0" fontId="3" fillId="8" borderId="20" xfId="0" applyFont="1" applyFill="1" applyBorder="1" applyAlignment="1">
      <alignment horizontal="center" vertical="top" wrapText="1"/>
    </xf>
    <xf numFmtId="0" fontId="3" fillId="8" borderId="0" xfId="0" applyFont="1" applyFill="1" applyAlignment="1">
      <alignment horizontal="center" vertical="top" wrapText="1"/>
    </xf>
    <xf numFmtId="0" fontId="3" fillId="8" borderId="29" xfId="0" applyFont="1" applyFill="1" applyBorder="1" applyAlignment="1">
      <alignment horizontal="center" vertical="top" wrapText="1"/>
    </xf>
    <xf numFmtId="42" fontId="3" fillId="0" borderId="20" xfId="1" applyNumberFormat="1" applyFont="1" applyFill="1" applyBorder="1"/>
    <xf numFmtId="42" fontId="4" fillId="0" borderId="30" xfId="0" applyNumberFormat="1" applyFont="1" applyBorder="1"/>
    <xf numFmtId="42" fontId="3" fillId="0" borderId="29" xfId="1" applyNumberFormat="1" applyFont="1" applyFill="1" applyBorder="1"/>
    <xf numFmtId="2" fontId="3" fillId="8" borderId="37" xfId="0" applyNumberFormat="1" applyFont="1" applyFill="1" applyBorder="1" applyAlignment="1">
      <alignment wrapText="1"/>
    </xf>
    <xf numFmtId="2" fontId="3" fillId="8" borderId="29" xfId="0" applyNumberFormat="1" applyFont="1" applyFill="1" applyBorder="1" applyAlignment="1">
      <alignment horizontal="center" vertical="top" wrapText="1"/>
    </xf>
    <xf numFmtId="2" fontId="3" fillId="0" borderId="29" xfId="0" applyNumberFormat="1" applyFont="1" applyBorder="1"/>
    <xf numFmtId="164" fontId="4" fillId="0" borderId="38" xfId="0" applyNumberFormat="1" applyFont="1" applyBorder="1"/>
    <xf numFmtId="2" fontId="2" fillId="0" borderId="39" xfId="0" applyNumberFormat="1" applyFont="1" applyBorder="1"/>
    <xf numFmtId="0" fontId="6" fillId="8" borderId="16" xfId="0" applyFont="1" applyFill="1" applyBorder="1" applyAlignment="1">
      <alignment horizontal="center" vertical="center" wrapText="1"/>
    </xf>
    <xf numFmtId="0" fontId="3" fillId="8" borderId="17" xfId="0" applyFont="1" applyFill="1" applyBorder="1" applyAlignment="1">
      <alignment horizontal="center" vertical="center" wrapText="1"/>
    </xf>
    <xf numFmtId="165" fontId="6" fillId="0" borderId="16" xfId="0" applyNumberFormat="1" applyFont="1" applyBorder="1"/>
    <xf numFmtId="0" fontId="6" fillId="8" borderId="16" xfId="0" applyFont="1" applyFill="1" applyBorder="1" applyAlignment="1">
      <alignment horizontal="center" vertical="top" wrapText="1"/>
    </xf>
    <xf numFmtId="0" fontId="3" fillId="8" borderId="17" xfId="0" applyFont="1" applyFill="1" applyBorder="1" applyAlignment="1">
      <alignment horizontal="center" vertical="top" wrapText="1"/>
    </xf>
    <xf numFmtId="42" fontId="6" fillId="0" borderId="16" xfId="1" applyNumberFormat="1" applyFont="1" applyFill="1" applyBorder="1"/>
    <xf numFmtId="2" fontId="3" fillId="8" borderId="17" xfId="0" applyNumberFormat="1" applyFont="1" applyFill="1" applyBorder="1" applyAlignment="1">
      <alignment horizontal="center" vertical="top" wrapText="1"/>
    </xf>
    <xf numFmtId="0" fontId="3" fillId="8" borderId="7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wrapText="1"/>
    </xf>
    <xf numFmtId="14" fontId="3" fillId="8" borderId="10" xfId="0" applyNumberFormat="1" applyFont="1" applyFill="1" applyBorder="1" applyAlignment="1">
      <alignment vertical="center" wrapText="1"/>
    </xf>
    <xf numFmtId="165" fontId="3" fillId="8" borderId="10" xfId="0" applyNumberFormat="1" applyFont="1" applyFill="1" applyBorder="1"/>
    <xf numFmtId="42" fontId="3" fillId="8" borderId="10" xfId="1" applyNumberFormat="1" applyFont="1" applyFill="1" applyBorder="1"/>
    <xf numFmtId="14" fontId="3" fillId="8" borderId="8" xfId="0" applyNumberFormat="1" applyFont="1" applyFill="1" applyBorder="1" applyAlignment="1">
      <alignment vertical="center" wrapText="1"/>
    </xf>
    <xf numFmtId="0" fontId="3" fillId="8" borderId="16" xfId="0" applyFont="1" applyFill="1" applyBorder="1" applyAlignment="1">
      <alignment horizontal="center" vertical="center" wrapText="1"/>
    </xf>
    <xf numFmtId="165" fontId="3" fillId="8" borderId="18" xfId="0" applyNumberFormat="1" applyFont="1" applyFill="1" applyBorder="1"/>
    <xf numFmtId="165" fontId="3" fillId="8" borderId="19" xfId="0" applyNumberFormat="1" applyFont="1" applyFill="1" applyBorder="1"/>
    <xf numFmtId="0" fontId="3" fillId="8" borderId="16" xfId="0" applyFont="1" applyFill="1" applyBorder="1" applyAlignment="1">
      <alignment horizontal="center" vertical="top" wrapText="1"/>
    </xf>
    <xf numFmtId="42" fontId="3" fillId="8" borderId="18" xfId="1" applyNumberFormat="1" applyFont="1" applyFill="1" applyBorder="1"/>
    <xf numFmtId="42" fontId="3" fillId="8" borderId="19" xfId="1" applyNumberFormat="1" applyFont="1" applyFill="1" applyBorder="1"/>
    <xf numFmtId="2" fontId="3" fillId="8" borderId="19" xfId="0" applyNumberFormat="1" applyFont="1" applyFill="1" applyBorder="1"/>
    <xf numFmtId="165" fontId="9" fillId="0" borderId="2" xfId="0" applyNumberFormat="1" applyFont="1" applyBorder="1"/>
    <xf numFmtId="167" fontId="9" fillId="0" borderId="2" xfId="1" applyNumberFormat="1" applyFont="1" applyFill="1" applyBorder="1"/>
    <xf numFmtId="0" fontId="9" fillId="4" borderId="2" xfId="0" applyFont="1" applyFill="1" applyBorder="1" applyAlignment="1">
      <alignment vertical="center" wrapText="1"/>
    </xf>
    <xf numFmtId="14" fontId="9" fillId="4" borderId="2" xfId="0" applyNumberFormat="1" applyFont="1" applyFill="1" applyBorder="1" applyAlignment="1">
      <alignment vertical="center" wrapText="1"/>
    </xf>
    <xf numFmtId="0" fontId="9" fillId="4" borderId="3" xfId="0" applyFont="1" applyFill="1" applyBorder="1" applyAlignment="1">
      <alignment vertical="center" wrapText="1"/>
    </xf>
    <xf numFmtId="14" fontId="9" fillId="4" borderId="3" xfId="0" applyNumberFormat="1" applyFont="1" applyFill="1" applyBorder="1" applyAlignment="1">
      <alignment vertical="center" wrapText="1"/>
    </xf>
    <xf numFmtId="14" fontId="9" fillId="5" borderId="3" xfId="0" applyNumberFormat="1" applyFont="1" applyFill="1" applyBorder="1" applyAlignment="1">
      <alignment vertical="center" wrapText="1"/>
    </xf>
    <xf numFmtId="0" fontId="9" fillId="4" borderId="20" xfId="0" applyFont="1" applyFill="1" applyBorder="1" applyAlignment="1">
      <alignment vertical="center" wrapText="1"/>
    </xf>
    <xf numFmtId="0" fontId="9" fillId="4" borderId="0" xfId="0" applyFont="1" applyFill="1" applyAlignment="1">
      <alignment vertical="center" wrapText="1"/>
    </xf>
    <xf numFmtId="0" fontId="9" fillId="4" borderId="29" xfId="0" applyFont="1" applyFill="1" applyBorder="1" applyAlignment="1">
      <alignment vertical="top" wrapText="1"/>
    </xf>
    <xf numFmtId="165" fontId="9" fillId="0" borderId="20" xfId="0" applyNumberFormat="1" applyFont="1" applyBorder="1"/>
    <xf numFmtId="165" fontId="9" fillId="0" borderId="0" xfId="0" applyNumberFormat="1" applyFont="1"/>
    <xf numFmtId="0" fontId="9" fillId="0" borderId="29" xfId="0" applyFont="1" applyBorder="1"/>
    <xf numFmtId="167" fontId="9" fillId="0" borderId="0" xfId="1" applyNumberFormat="1" applyFont="1" applyFill="1" applyBorder="1"/>
    <xf numFmtId="168" fontId="9" fillId="0" borderId="30" xfId="1" applyNumberFormat="1" applyFont="1" applyFill="1" applyBorder="1"/>
    <xf numFmtId="165" fontId="9" fillId="0" borderId="38" xfId="0" applyNumberFormat="1" applyFont="1" applyBorder="1"/>
    <xf numFmtId="0" fontId="11" fillId="0" borderId="39" xfId="0" applyFont="1" applyBorder="1"/>
    <xf numFmtId="165" fontId="11" fillId="0" borderId="38" xfId="0" applyNumberFormat="1" applyFont="1" applyBorder="1"/>
    <xf numFmtId="0" fontId="9" fillId="4" borderId="16" xfId="0" applyFont="1" applyFill="1" applyBorder="1" applyAlignment="1">
      <alignment vertical="center" wrapText="1"/>
    </xf>
    <xf numFmtId="0" fontId="9" fillId="4" borderId="17" xfId="0" applyFont="1" applyFill="1" applyBorder="1" applyAlignment="1">
      <alignment vertical="top" wrapText="1"/>
    </xf>
    <xf numFmtId="165" fontId="9" fillId="0" borderId="16" xfId="0" applyNumberFormat="1" applyFont="1" applyBorder="1"/>
    <xf numFmtId="0" fontId="9" fillId="0" borderId="17" xfId="0" applyFont="1" applyBorder="1"/>
    <xf numFmtId="168" fontId="9" fillId="0" borderId="31" xfId="1" applyNumberFormat="1" applyFont="1" applyFill="1" applyBorder="1"/>
    <xf numFmtId="165" fontId="11" fillId="0" borderId="33" xfId="0" applyNumberFormat="1" applyFont="1" applyBorder="1"/>
    <xf numFmtId="165" fontId="9" fillId="0" borderId="33" xfId="0" applyNumberFormat="1" applyFont="1" applyBorder="1"/>
    <xf numFmtId="165" fontId="9" fillId="0" borderId="34" xfId="0" applyNumberFormat="1" applyFont="1" applyBorder="1"/>
    <xf numFmtId="167" fontId="9" fillId="0" borderId="34" xfId="0" applyNumberFormat="1" applyFont="1" applyBorder="1"/>
    <xf numFmtId="168" fontId="9" fillId="0" borderId="34" xfId="0" applyNumberFormat="1" applyFont="1" applyBorder="1"/>
    <xf numFmtId="0" fontId="5" fillId="0" borderId="2" xfId="0" applyFont="1" applyBorder="1" applyAlignment="1">
      <alignment vertical="center" wrapText="1"/>
    </xf>
    <xf numFmtId="0" fontId="5" fillId="4" borderId="2" xfId="0" applyFont="1" applyFill="1" applyBorder="1" applyAlignment="1">
      <alignment vertical="center" wrapText="1"/>
    </xf>
    <xf numFmtId="0" fontId="5" fillId="11" borderId="2" xfId="0" applyFont="1" applyFill="1" applyBorder="1" applyAlignment="1">
      <alignment vertical="center" wrapText="1"/>
    </xf>
    <xf numFmtId="14" fontId="5" fillId="11" borderId="2" xfId="0" applyNumberFormat="1" applyFont="1" applyFill="1" applyBorder="1" applyAlignment="1">
      <alignment vertical="center" wrapText="1"/>
    </xf>
    <xf numFmtId="0" fontId="9" fillId="11" borderId="2" xfId="0" applyFont="1" applyFill="1" applyBorder="1" applyAlignment="1">
      <alignment vertical="center" wrapText="1"/>
    </xf>
    <xf numFmtId="14" fontId="9" fillId="11" borderId="2" xfId="0" applyNumberFormat="1" applyFont="1" applyFill="1" applyBorder="1" applyAlignment="1">
      <alignment vertical="center" wrapText="1"/>
    </xf>
    <xf numFmtId="0" fontId="5" fillId="4" borderId="3" xfId="0" applyFont="1" applyFill="1" applyBorder="1" applyAlignment="1">
      <alignment vertical="center" wrapText="1"/>
    </xf>
    <xf numFmtId="14" fontId="5" fillId="11" borderId="3" xfId="0" applyNumberFormat="1" applyFont="1" applyFill="1" applyBorder="1" applyAlignment="1">
      <alignment vertical="center" wrapText="1"/>
    </xf>
    <xf numFmtId="14" fontId="9" fillId="11" borderId="3" xfId="0" applyNumberFormat="1" applyFont="1" applyFill="1" applyBorder="1" applyAlignment="1">
      <alignment vertical="center" wrapText="1"/>
    </xf>
    <xf numFmtId="0" fontId="9" fillId="4" borderId="43" xfId="0" applyFont="1" applyFill="1" applyBorder="1" applyAlignment="1">
      <alignment vertical="center" wrapText="1"/>
    </xf>
    <xf numFmtId="0" fontId="9" fillId="4" borderId="44" xfId="0" applyFont="1" applyFill="1" applyBorder="1" applyAlignment="1">
      <alignment vertical="top" wrapText="1"/>
    </xf>
    <xf numFmtId="165" fontId="9" fillId="0" borderId="43" xfId="0" applyNumberFormat="1" applyFont="1" applyBorder="1"/>
    <xf numFmtId="0" fontId="9" fillId="0" borderId="44" xfId="0" applyFont="1" applyBorder="1"/>
    <xf numFmtId="165" fontId="9" fillId="0" borderId="45" xfId="0" applyNumberFormat="1" applyFont="1" applyBorder="1"/>
    <xf numFmtId="165" fontId="11" fillId="0" borderId="46" xfId="0" applyNumberFormat="1" applyFont="1" applyBorder="1"/>
    <xf numFmtId="165" fontId="9" fillId="0" borderId="46" xfId="0" applyNumberFormat="1" applyFont="1" applyBorder="1"/>
    <xf numFmtId="165" fontId="9" fillId="0" borderId="47" xfId="0" applyNumberFormat="1" applyFont="1" applyBorder="1"/>
    <xf numFmtId="42" fontId="1" fillId="0" borderId="2" xfId="1" applyNumberFormat="1" applyFont="1" applyFill="1" applyBorder="1"/>
    <xf numFmtId="165" fontId="1" fillId="0" borderId="2" xfId="0" applyNumberFormat="1" applyFont="1" applyBorder="1"/>
    <xf numFmtId="0" fontId="1" fillId="12" borderId="2" xfId="0" applyFont="1" applyFill="1" applyBorder="1" applyAlignment="1">
      <alignment vertical="center" wrapText="1"/>
    </xf>
    <xf numFmtId="14" fontId="1" fillId="12" borderId="2" xfId="0" applyNumberFormat="1" applyFont="1" applyFill="1" applyBorder="1" applyAlignment="1">
      <alignment vertical="center" wrapText="1"/>
    </xf>
    <xf numFmtId="14" fontId="0" fillId="12" borderId="2" xfId="0" applyNumberFormat="1" applyFill="1" applyBorder="1" applyAlignment="1">
      <alignment vertical="center" wrapText="1"/>
    </xf>
    <xf numFmtId="0" fontId="1" fillId="0" borderId="2" xfId="0" applyFont="1" applyBorder="1" applyAlignment="1">
      <alignment vertical="top" wrapText="1"/>
    </xf>
    <xf numFmtId="0" fontId="1" fillId="12" borderId="3" xfId="0" applyFont="1" applyFill="1" applyBorder="1" applyAlignment="1">
      <alignment vertical="center" wrapText="1"/>
    </xf>
    <xf numFmtId="14" fontId="1" fillId="12" borderId="3" xfId="0" applyNumberFormat="1" applyFont="1" applyFill="1" applyBorder="1" applyAlignment="1">
      <alignment vertical="center" wrapText="1"/>
    </xf>
    <xf numFmtId="14" fontId="0" fillId="12" borderId="3" xfId="0" applyNumberFormat="1" applyFill="1" applyBorder="1" applyAlignment="1">
      <alignment vertical="center" wrapText="1"/>
    </xf>
    <xf numFmtId="0" fontId="1" fillId="0" borderId="3" xfId="0" applyFont="1" applyBorder="1"/>
    <xf numFmtId="0" fontId="5" fillId="0" borderId="16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165" fontId="1" fillId="0" borderId="16" xfId="0" applyNumberFormat="1" applyFont="1" applyBorder="1"/>
    <xf numFmtId="165" fontId="1" fillId="0" borderId="17" xfId="0" applyNumberFormat="1" applyFont="1" applyBorder="1"/>
    <xf numFmtId="164" fontId="1" fillId="0" borderId="31" xfId="0" applyNumberFormat="1" applyFont="1" applyBorder="1"/>
    <xf numFmtId="0" fontId="2" fillId="0" borderId="33" xfId="0" applyFont="1" applyBorder="1"/>
    <xf numFmtId="165" fontId="0" fillId="0" borderId="34" xfId="0" applyNumberFormat="1" applyBorder="1"/>
    <xf numFmtId="0" fontId="1" fillId="0" borderId="16" xfId="0" applyFont="1" applyBorder="1" applyAlignment="1">
      <alignment vertical="top" wrapText="1"/>
    </xf>
    <xf numFmtId="42" fontId="1" fillId="0" borderId="16" xfId="1" applyNumberFormat="1" applyFont="1" applyFill="1" applyBorder="1"/>
    <xf numFmtId="42" fontId="1" fillId="0" borderId="17" xfId="1" applyNumberFormat="1" applyFont="1" applyFill="1" applyBorder="1"/>
    <xf numFmtId="0" fontId="4" fillId="8" borderId="2" xfId="0" applyFont="1" applyFill="1" applyBorder="1" applyAlignment="1">
      <alignment horizontal="center"/>
    </xf>
    <xf numFmtId="0" fontId="4" fillId="8" borderId="2" xfId="0" applyFont="1" applyFill="1" applyBorder="1"/>
    <xf numFmtId="0" fontId="3" fillId="0" borderId="36" xfId="0" applyFont="1" applyBorder="1" applyAlignment="1">
      <alignment horizontal="center" wrapText="1"/>
    </xf>
    <xf numFmtId="2" fontId="3" fillId="0" borderId="36" xfId="0" applyNumberFormat="1" applyFont="1" applyBorder="1" applyAlignment="1">
      <alignment wrapText="1"/>
    </xf>
    <xf numFmtId="0" fontId="2" fillId="3" borderId="37" xfId="0" applyFont="1" applyFill="1" applyBorder="1"/>
    <xf numFmtId="0" fontId="4" fillId="3" borderId="2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4" fillId="0" borderId="18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2" fontId="4" fillId="0" borderId="0" xfId="0" applyNumberFormat="1" applyFont="1" applyAlignment="1">
      <alignment wrapText="1"/>
    </xf>
    <xf numFmtId="0" fontId="2" fillId="3" borderId="29" xfId="0" applyFont="1" applyFill="1" applyBorder="1"/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2" fontId="3" fillId="0" borderId="0" xfId="0" applyNumberFormat="1" applyFont="1" applyAlignment="1">
      <alignment horizontal="center" vertical="top" wrapText="1"/>
    </xf>
    <xf numFmtId="0" fontId="3" fillId="0" borderId="29" xfId="0" applyFont="1" applyBorder="1" applyAlignment="1">
      <alignment horizontal="center" vertical="top" wrapText="1"/>
    </xf>
    <xf numFmtId="14" fontId="3" fillId="3" borderId="2" xfId="0" applyNumberFormat="1" applyFont="1" applyFill="1" applyBorder="1" applyAlignment="1">
      <alignment vertical="center" wrapText="1"/>
    </xf>
    <xf numFmtId="14" fontId="3" fillId="3" borderId="3" xfId="0" applyNumberFormat="1" applyFont="1" applyFill="1" applyBorder="1" applyAlignment="1">
      <alignment vertical="center" wrapText="1"/>
    </xf>
    <xf numFmtId="9" fontId="3" fillId="0" borderId="0" xfId="2" applyFont="1" applyFill="1" applyBorder="1"/>
    <xf numFmtId="9" fontId="3" fillId="0" borderId="0" xfId="2" applyFont="1" applyBorder="1"/>
    <xf numFmtId="37" fontId="3" fillId="0" borderId="29" xfId="1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 vertical="center" wrapText="1"/>
    </xf>
    <xf numFmtId="14" fontId="3" fillId="3" borderId="5" xfId="0" applyNumberFormat="1" applyFont="1" applyFill="1" applyBorder="1" applyAlignment="1">
      <alignment vertical="center" wrapText="1"/>
    </xf>
    <xf numFmtId="14" fontId="3" fillId="3" borderId="6" xfId="0" applyNumberFormat="1" applyFont="1" applyFill="1" applyBorder="1" applyAlignment="1">
      <alignment vertical="center" wrapText="1"/>
    </xf>
    <xf numFmtId="0" fontId="3" fillId="3" borderId="0" xfId="0" applyFont="1" applyFill="1" applyAlignment="1">
      <alignment horizontal="center" vertical="center" wrapText="1"/>
    </xf>
    <xf numFmtId="14" fontId="3" fillId="3" borderId="0" xfId="0" applyNumberFormat="1" applyFont="1" applyFill="1" applyAlignment="1">
      <alignment vertical="center" wrapText="1"/>
    </xf>
    <xf numFmtId="0" fontId="4" fillId="3" borderId="11" xfId="0" applyFont="1" applyFill="1" applyBorder="1" applyAlignment="1">
      <alignment horizontal="center"/>
    </xf>
    <xf numFmtId="0" fontId="4" fillId="3" borderId="11" xfId="0" applyFont="1" applyFill="1" applyBorder="1"/>
    <xf numFmtId="0" fontId="4" fillId="3" borderId="12" xfId="0" applyFont="1" applyFill="1" applyBorder="1"/>
    <xf numFmtId="42" fontId="0" fillId="0" borderId="30" xfId="0" applyNumberFormat="1" applyBorder="1"/>
    <xf numFmtId="2" fontId="2" fillId="0" borderId="38" xfId="0" applyNumberFormat="1" applyFont="1" applyBorder="1"/>
    <xf numFmtId="1" fontId="2" fillId="3" borderId="39" xfId="0" applyNumberFormat="1" applyFont="1" applyFill="1" applyBorder="1" applyAlignment="1">
      <alignment horizontal="center"/>
    </xf>
    <xf numFmtId="168" fontId="0" fillId="0" borderId="0" xfId="0" applyNumberFormat="1"/>
    <xf numFmtId="44" fontId="0" fillId="0" borderId="2" xfId="1" applyFont="1" applyBorder="1"/>
    <xf numFmtId="44" fontId="0" fillId="0" borderId="5" xfId="1" applyFont="1" applyFill="1" applyBorder="1"/>
    <xf numFmtId="0" fontId="2" fillId="6" borderId="2" xfId="0" applyFont="1" applyFill="1" applyBorder="1"/>
    <xf numFmtId="44" fontId="2" fillId="6" borderId="2" xfId="1" applyFont="1" applyFill="1" applyBorder="1"/>
    <xf numFmtId="165" fontId="3" fillId="0" borderId="49" xfId="1" applyNumberFormat="1" applyFont="1" applyFill="1" applyBorder="1"/>
    <xf numFmtId="42" fontId="3" fillId="0" borderId="49" xfId="1" applyNumberFormat="1" applyFont="1" applyFill="1" applyBorder="1"/>
    <xf numFmtId="165" fontId="3" fillId="0" borderId="49" xfId="0" applyNumberFormat="1" applyFont="1" applyBorder="1"/>
    <xf numFmtId="0" fontId="3" fillId="8" borderId="11" xfId="0" applyFont="1" applyFill="1" applyBorder="1" applyAlignment="1">
      <alignment horizontal="center" vertical="center" wrapText="1"/>
    </xf>
    <xf numFmtId="14" fontId="3" fillId="8" borderId="11" xfId="0" applyNumberFormat="1" applyFont="1" applyFill="1" applyBorder="1" applyAlignment="1">
      <alignment vertical="center" wrapText="1"/>
    </xf>
    <xf numFmtId="14" fontId="3" fillId="8" borderId="12" xfId="0" applyNumberFormat="1" applyFont="1" applyFill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top" wrapText="1"/>
    </xf>
    <xf numFmtId="165" fontId="3" fillId="0" borderId="11" xfId="0" applyNumberFormat="1" applyFont="1" applyBorder="1"/>
    <xf numFmtId="42" fontId="3" fillId="0" borderId="11" xfId="1" applyNumberFormat="1" applyFont="1" applyFill="1" applyBorder="1"/>
    <xf numFmtId="0" fontId="3" fillId="8" borderId="12" xfId="0" applyFon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44" fontId="0" fillId="0" borderId="25" xfId="1" applyFont="1" applyFill="1" applyBorder="1"/>
    <xf numFmtId="165" fontId="3" fillId="0" borderId="48" xfId="0" applyNumberFormat="1" applyFont="1" applyBorder="1"/>
    <xf numFmtId="0" fontId="3" fillId="0" borderId="25" xfId="0" applyFont="1" applyBorder="1" applyAlignment="1">
      <alignment horizontal="center" vertical="top" wrapText="1"/>
    </xf>
    <xf numFmtId="0" fontId="3" fillId="0" borderId="48" xfId="0" applyFont="1" applyBorder="1" applyAlignment="1">
      <alignment horizontal="center" vertical="top" wrapText="1"/>
    </xf>
    <xf numFmtId="42" fontId="3" fillId="0" borderId="25" xfId="1" applyNumberFormat="1" applyFont="1" applyFill="1" applyBorder="1"/>
    <xf numFmtId="42" fontId="3" fillId="0" borderId="48" xfId="1" applyNumberFormat="1" applyFont="1" applyFill="1" applyBorder="1"/>
    <xf numFmtId="165" fontId="3" fillId="0" borderId="25" xfId="0" applyNumberFormat="1" applyFont="1" applyBorder="1"/>
    <xf numFmtId="2" fontId="3" fillId="8" borderId="52" xfId="0" applyNumberFormat="1" applyFont="1" applyFill="1" applyBorder="1" applyAlignment="1">
      <alignment wrapText="1"/>
    </xf>
    <xf numFmtId="2" fontId="3" fillId="0" borderId="48" xfId="0" applyNumberFormat="1" applyFont="1" applyBorder="1" applyAlignment="1">
      <alignment horizontal="center" vertical="top" wrapText="1"/>
    </xf>
    <xf numFmtId="2" fontId="3" fillId="0" borderId="48" xfId="0" applyNumberFormat="1" applyFont="1" applyBorder="1"/>
    <xf numFmtId="164" fontId="3" fillId="0" borderId="22" xfId="1" applyNumberFormat="1" applyFont="1" applyFill="1" applyBorder="1"/>
    <xf numFmtId="0" fontId="3" fillId="9" borderId="11" xfId="0" applyFont="1" applyFill="1" applyBorder="1" applyAlignment="1">
      <alignment horizontal="center" vertical="center" wrapText="1"/>
    </xf>
    <xf numFmtId="0" fontId="3" fillId="9" borderId="11" xfId="0" applyFont="1" applyFill="1" applyBorder="1" applyAlignment="1">
      <alignment horizontal="center" vertical="top" wrapText="1"/>
    </xf>
    <xf numFmtId="14" fontId="3" fillId="9" borderId="11" xfId="0" applyNumberFormat="1" applyFont="1" applyFill="1" applyBorder="1" applyAlignment="1">
      <alignment vertical="center" wrapText="1"/>
    </xf>
    <xf numFmtId="165" fontId="3" fillId="9" borderId="11" xfId="0" applyNumberFormat="1" applyFont="1" applyFill="1" applyBorder="1"/>
    <xf numFmtId="42" fontId="3" fillId="9" borderId="11" xfId="1" applyNumberFormat="1" applyFont="1" applyFill="1" applyBorder="1"/>
    <xf numFmtId="0" fontId="4" fillId="9" borderId="11" xfId="0" applyFont="1" applyFill="1" applyBorder="1" applyAlignment="1">
      <alignment horizontal="center"/>
    </xf>
    <xf numFmtId="0" fontId="4" fillId="9" borderId="11" xfId="0" applyFont="1" applyFill="1" applyBorder="1"/>
    <xf numFmtId="0" fontId="3" fillId="9" borderId="12" xfId="0" applyFont="1" applyFill="1" applyBorder="1" applyAlignment="1">
      <alignment horizontal="center" vertical="center" wrapText="1"/>
    </xf>
    <xf numFmtId="14" fontId="3" fillId="9" borderId="12" xfId="0" applyNumberFormat="1" applyFont="1" applyFill="1" applyBorder="1" applyAlignment="1">
      <alignment vertical="center" wrapText="1"/>
    </xf>
    <xf numFmtId="0" fontId="4" fillId="9" borderId="12" xfId="0" applyFont="1" applyFill="1" applyBorder="1"/>
    <xf numFmtId="0" fontId="3" fillId="9" borderId="25" xfId="0" applyFont="1" applyFill="1" applyBorder="1" applyAlignment="1">
      <alignment horizontal="center" vertical="center" wrapText="1"/>
    </xf>
    <xf numFmtId="0" fontId="3" fillId="9" borderId="48" xfId="0" applyFont="1" applyFill="1" applyBorder="1" applyAlignment="1">
      <alignment horizontal="center" vertical="center" wrapText="1"/>
    </xf>
    <xf numFmtId="165" fontId="3" fillId="9" borderId="25" xfId="0" applyNumberFormat="1" applyFont="1" applyFill="1" applyBorder="1"/>
    <xf numFmtId="165" fontId="3" fillId="9" borderId="48" xfId="0" applyNumberFormat="1" applyFont="1" applyFill="1" applyBorder="1"/>
    <xf numFmtId="0" fontId="3" fillId="9" borderId="25" xfId="0" applyFont="1" applyFill="1" applyBorder="1" applyAlignment="1">
      <alignment horizontal="center" vertical="top" wrapText="1"/>
    </xf>
    <xf numFmtId="0" fontId="3" fillId="9" borderId="48" xfId="0" applyFont="1" applyFill="1" applyBorder="1" applyAlignment="1">
      <alignment horizontal="center" vertical="top" wrapText="1"/>
    </xf>
    <xf numFmtId="42" fontId="3" fillId="9" borderId="25" xfId="1" applyNumberFormat="1" applyFont="1" applyFill="1" applyBorder="1"/>
    <xf numFmtId="42" fontId="3" fillId="9" borderId="48" xfId="1" applyNumberFormat="1" applyFont="1" applyFill="1" applyBorder="1"/>
    <xf numFmtId="2" fontId="3" fillId="9" borderId="56" xfId="0" applyNumberFormat="1" applyFont="1" applyFill="1" applyBorder="1" applyAlignment="1">
      <alignment wrapText="1"/>
    </xf>
    <xf numFmtId="2" fontId="3" fillId="9" borderId="48" xfId="0" applyNumberFormat="1" applyFont="1" applyFill="1" applyBorder="1" applyAlignment="1">
      <alignment horizontal="center" vertical="top" wrapText="1"/>
    </xf>
    <xf numFmtId="2" fontId="3" fillId="9" borderId="48" xfId="0" applyNumberFormat="1" applyFont="1" applyFill="1" applyBorder="1"/>
    <xf numFmtId="0" fontId="4" fillId="8" borderId="3" xfId="0" applyFont="1" applyFill="1" applyBorder="1"/>
    <xf numFmtId="165" fontId="6" fillId="0" borderId="49" xfId="0" applyNumberFormat="1" applyFont="1" applyBorder="1"/>
    <xf numFmtId="42" fontId="6" fillId="0" borderId="49" xfId="1" applyNumberFormat="1" applyFont="1" applyFill="1" applyBorder="1"/>
    <xf numFmtId="42" fontId="0" fillId="0" borderId="31" xfId="0" applyNumberFormat="1" applyBorder="1"/>
    <xf numFmtId="165" fontId="9" fillId="0" borderId="49" xfId="0" applyNumberFormat="1" applyFont="1" applyBorder="1"/>
    <xf numFmtId="167" fontId="9" fillId="0" borderId="5" xfId="1" applyNumberFormat="1" applyFont="1" applyFill="1" applyBorder="1"/>
    <xf numFmtId="165" fontId="9" fillId="0" borderId="5" xfId="0" applyNumberFormat="1" applyFont="1" applyBorder="1"/>
    <xf numFmtId="0" fontId="9" fillId="0" borderId="21" xfId="0" applyFont="1" applyBorder="1"/>
    <xf numFmtId="165" fontId="9" fillId="0" borderId="57" xfId="0" applyNumberFormat="1" applyFont="1" applyBorder="1"/>
    <xf numFmtId="0" fontId="9" fillId="0" borderId="58" xfId="0" applyFont="1" applyBorder="1"/>
    <xf numFmtId="165" fontId="1" fillId="0" borderId="49" xfId="0" applyNumberFormat="1" applyFont="1" applyBorder="1"/>
    <xf numFmtId="165" fontId="1" fillId="0" borderId="5" xfId="0" applyNumberFormat="1" applyFont="1" applyBorder="1"/>
    <xf numFmtId="165" fontId="1" fillId="0" borderId="21" xfId="0" applyNumberFormat="1" applyFont="1" applyBorder="1"/>
    <xf numFmtId="42" fontId="1" fillId="0" borderId="49" xfId="1" applyNumberFormat="1" applyFont="1" applyFill="1" applyBorder="1"/>
    <xf numFmtId="42" fontId="1" fillId="0" borderId="5" xfId="1" applyNumberFormat="1" applyFont="1" applyFill="1" applyBorder="1"/>
    <xf numFmtId="0" fontId="2" fillId="6" borderId="0" xfId="0" applyFont="1" applyFill="1" applyAlignment="1">
      <alignment horizontal="center"/>
    </xf>
    <xf numFmtId="0" fontId="2" fillId="11" borderId="0" xfId="0" applyFont="1" applyFill="1" applyAlignment="1">
      <alignment horizontal="center"/>
    </xf>
    <xf numFmtId="0" fontId="2" fillId="11" borderId="2" xfId="0" applyFont="1" applyFill="1" applyBorder="1"/>
    <xf numFmtId="44" fontId="2" fillId="11" borderId="2" xfId="1" applyFont="1" applyFill="1" applyBorder="1"/>
    <xf numFmtId="164" fontId="7" fillId="0" borderId="0" xfId="0" applyNumberFormat="1" applyFont="1"/>
    <xf numFmtId="49" fontId="2" fillId="10" borderId="9" xfId="0" applyNumberFormat="1" applyFont="1" applyFill="1" applyBorder="1" applyAlignment="1">
      <alignment horizontal="center" vertical="center" wrapText="1"/>
    </xf>
    <xf numFmtId="0" fontId="2" fillId="10" borderId="9" xfId="0" applyFont="1" applyFill="1" applyBorder="1" applyAlignment="1">
      <alignment horizontal="center" vertical="center"/>
    </xf>
    <xf numFmtId="3" fontId="7" fillId="0" borderId="0" xfId="0" applyNumberFormat="1" applyFont="1"/>
    <xf numFmtId="0" fontId="2" fillId="10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0" fontId="2" fillId="13" borderId="35" xfId="0" applyNumberFormat="1" applyFont="1" applyFill="1" applyBorder="1" applyAlignment="1">
      <alignment horizontal="center" vertical="center" wrapText="1"/>
    </xf>
    <xf numFmtId="10" fontId="2" fillId="14" borderId="37" xfId="0" applyNumberFormat="1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wrapText="1"/>
    </xf>
    <xf numFmtId="1" fontId="0" fillId="0" borderId="20" xfId="0" applyNumberFormat="1" applyBorder="1"/>
    <xf numFmtId="1" fontId="0" fillId="0" borderId="29" xfId="0" applyNumberFormat="1" applyBorder="1"/>
    <xf numFmtId="1" fontId="0" fillId="0" borderId="30" xfId="0" applyNumberFormat="1" applyBorder="1"/>
    <xf numFmtId="1" fontId="0" fillId="0" borderId="39" xfId="0" applyNumberFormat="1" applyBorder="1"/>
    <xf numFmtId="0" fontId="2" fillId="4" borderId="37" xfId="0" applyFont="1" applyFill="1" applyBorder="1" applyAlignment="1">
      <alignment wrapText="1"/>
    </xf>
    <xf numFmtId="0" fontId="1" fillId="12" borderId="0" xfId="0" applyFont="1" applyFill="1"/>
    <xf numFmtId="0" fontId="0" fillId="12" borderId="0" xfId="0" applyFill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/>
    <xf numFmtId="0" fontId="0" fillId="0" borderId="59" xfId="0" applyBorder="1" applyAlignment="1">
      <alignment wrapText="1"/>
    </xf>
    <xf numFmtId="0" fontId="0" fillId="0" borderId="59" xfId="0" applyBorder="1"/>
    <xf numFmtId="0" fontId="2" fillId="0" borderId="59" xfId="0" applyFont="1" applyBorder="1"/>
    <xf numFmtId="0" fontId="2" fillId="0" borderId="11" xfId="0" applyFont="1" applyBorder="1"/>
    <xf numFmtId="0" fontId="1" fillId="8" borderId="0" xfId="0" applyFont="1" applyFill="1"/>
    <xf numFmtId="0" fontId="0" fillId="8" borderId="0" xfId="0" applyFill="1" applyAlignment="1">
      <alignment wrapText="1"/>
    </xf>
    <xf numFmtId="0" fontId="2" fillId="0" borderId="59" xfId="0" applyFont="1" applyBorder="1" applyAlignment="1">
      <alignment wrapText="1"/>
    </xf>
    <xf numFmtId="0" fontId="2" fillId="0" borderId="11" xfId="0" applyFont="1" applyBorder="1" applyAlignment="1">
      <alignment wrapText="1"/>
    </xf>
    <xf numFmtId="2" fontId="0" fillId="0" borderId="59" xfId="0" applyNumberFormat="1" applyBorder="1"/>
    <xf numFmtId="0" fontId="1" fillId="9" borderId="0" xfId="0" applyFont="1" applyFill="1"/>
    <xf numFmtId="0" fontId="0" fillId="9" borderId="0" xfId="0" applyFill="1" applyAlignment="1">
      <alignment wrapText="1"/>
    </xf>
    <xf numFmtId="0" fontId="2" fillId="9" borderId="59" xfId="0" applyFont="1" applyFill="1" applyBorder="1" applyAlignment="1">
      <alignment wrapText="1"/>
    </xf>
    <xf numFmtId="0" fontId="2" fillId="9" borderId="11" xfId="0" applyFont="1" applyFill="1" applyBorder="1" applyAlignment="1">
      <alignment wrapText="1"/>
    </xf>
    <xf numFmtId="0" fontId="0" fillId="9" borderId="59" xfId="0" applyFill="1" applyBorder="1"/>
    <xf numFmtId="0" fontId="0" fillId="9" borderId="11" xfId="0" applyFill="1" applyBorder="1"/>
    <xf numFmtId="0" fontId="0" fillId="8" borderId="0" xfId="0" applyFill="1"/>
    <xf numFmtId="0" fontId="2" fillId="8" borderId="59" xfId="0" applyFont="1" applyFill="1" applyBorder="1" applyAlignment="1">
      <alignment wrapText="1"/>
    </xf>
    <xf numFmtId="0" fontId="2" fillId="8" borderId="11" xfId="0" applyFont="1" applyFill="1" applyBorder="1" applyAlignment="1">
      <alignment wrapText="1"/>
    </xf>
    <xf numFmtId="0" fontId="0" fillId="4" borderId="0" xfId="0" applyFill="1"/>
    <xf numFmtId="0" fontId="1" fillId="4" borderId="0" xfId="0" applyFont="1" applyFill="1"/>
    <xf numFmtId="9" fontId="9" fillId="0" borderId="29" xfId="2" applyFont="1" applyBorder="1"/>
    <xf numFmtId="0" fontId="13" fillId="4" borderId="59" xfId="0" applyFont="1" applyFill="1" applyBorder="1" applyAlignment="1">
      <alignment wrapText="1"/>
    </xf>
    <xf numFmtId="0" fontId="13" fillId="4" borderId="11" xfId="0" applyFont="1" applyFill="1" applyBorder="1" applyAlignment="1">
      <alignment wrapText="1"/>
    </xf>
    <xf numFmtId="0" fontId="13" fillId="0" borderId="59" xfId="0" applyFont="1" applyBorder="1"/>
    <xf numFmtId="0" fontId="13" fillId="0" borderId="11" xfId="0" applyFont="1" applyBorder="1"/>
    <xf numFmtId="2" fontId="13" fillId="0" borderId="59" xfId="0" applyNumberFormat="1" applyFont="1" applyBorder="1"/>
    <xf numFmtId="0" fontId="14" fillId="0" borderId="59" xfId="0" applyFont="1" applyBorder="1"/>
    <xf numFmtId="1" fontId="2" fillId="0" borderId="0" xfId="0" applyNumberFormat="1" applyFont="1"/>
    <xf numFmtId="0" fontId="0" fillId="0" borderId="20" xfId="0" applyBorder="1"/>
    <xf numFmtId="0" fontId="0" fillId="0" borderId="29" xfId="0" applyBorder="1"/>
    <xf numFmtId="0" fontId="0" fillId="0" borderId="30" xfId="0" applyBorder="1"/>
    <xf numFmtId="0" fontId="0" fillId="0" borderId="39" xfId="0" applyBorder="1"/>
    <xf numFmtId="0" fontId="4" fillId="0" borderId="0" xfId="0" applyFont="1"/>
    <xf numFmtId="15" fontId="3" fillId="0" borderId="0" xfId="0" applyNumberFormat="1" applyFont="1"/>
    <xf numFmtId="15" fontId="0" fillId="0" borderId="0" xfId="0" applyNumberFormat="1"/>
    <xf numFmtId="0" fontId="11" fillId="0" borderId="0" xfId="0" applyFont="1"/>
    <xf numFmtId="15" fontId="9" fillId="0" borderId="0" xfId="0" applyNumberFormat="1" applyFont="1"/>
    <xf numFmtId="164" fontId="1" fillId="0" borderId="0" xfId="0" applyNumberFormat="1" applyFont="1"/>
    <xf numFmtId="164" fontId="0" fillId="0" borderId="34" xfId="0" applyNumberFormat="1" applyBorder="1"/>
    <xf numFmtId="0" fontId="2" fillId="7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3" fillId="3" borderId="2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6" xfId="0" applyFont="1" applyBorder="1" applyAlignment="1">
      <alignment horizontal="center" wrapText="1"/>
    </xf>
    <xf numFmtId="0" fontId="3" fillId="0" borderId="27" xfId="0" applyFont="1" applyBorder="1" applyAlignment="1">
      <alignment horizontal="center" wrapText="1"/>
    </xf>
    <xf numFmtId="0" fontId="3" fillId="0" borderId="32" xfId="0" applyFont="1" applyBorder="1" applyAlignment="1">
      <alignment horizontal="center" wrapText="1"/>
    </xf>
    <xf numFmtId="0" fontId="3" fillId="0" borderId="35" xfId="0" applyFont="1" applyBorder="1" applyAlignment="1">
      <alignment horizontal="center" wrapText="1"/>
    </xf>
    <xf numFmtId="0" fontId="3" fillId="0" borderId="36" xfId="0" applyFont="1" applyBorder="1" applyAlignment="1">
      <alignment horizontal="center" wrapText="1"/>
    </xf>
    <xf numFmtId="0" fontId="3" fillId="8" borderId="1" xfId="0" applyFont="1" applyFill="1" applyBorder="1" applyAlignment="1">
      <alignment horizontal="center"/>
    </xf>
    <xf numFmtId="0" fontId="3" fillId="8" borderId="0" xfId="0" applyFont="1" applyFill="1" applyAlignment="1">
      <alignment horizontal="center"/>
    </xf>
    <xf numFmtId="0" fontId="3" fillId="9" borderId="2" xfId="0" applyFont="1" applyFill="1" applyBorder="1" applyAlignment="1">
      <alignment horizontal="center" wrapText="1"/>
    </xf>
    <xf numFmtId="0" fontId="3" fillId="9" borderId="3" xfId="0" applyFont="1" applyFill="1" applyBorder="1" applyAlignment="1">
      <alignment horizontal="center" wrapText="1"/>
    </xf>
    <xf numFmtId="0" fontId="3" fillId="0" borderId="28" xfId="0" applyFont="1" applyBorder="1" applyAlignment="1">
      <alignment horizontal="center" wrapText="1"/>
    </xf>
    <xf numFmtId="0" fontId="3" fillId="8" borderId="5" xfId="0" applyFont="1" applyFill="1" applyBorder="1" applyAlignment="1">
      <alignment horizontal="center" wrapText="1"/>
    </xf>
    <xf numFmtId="0" fontId="3" fillId="8" borderId="6" xfId="0" applyFont="1" applyFill="1" applyBorder="1" applyAlignment="1">
      <alignment horizontal="center" wrapText="1"/>
    </xf>
    <xf numFmtId="0" fontId="3" fillId="8" borderId="50" xfId="0" applyFont="1" applyFill="1" applyBorder="1" applyAlignment="1">
      <alignment horizontal="center" wrapText="1"/>
    </xf>
    <xf numFmtId="0" fontId="3" fillId="8" borderId="51" xfId="0" applyFont="1" applyFill="1" applyBorder="1" applyAlignment="1">
      <alignment horizontal="center" wrapText="1"/>
    </xf>
    <xf numFmtId="0" fontId="3" fillId="8" borderId="52" xfId="0" applyFont="1" applyFill="1" applyBorder="1" applyAlignment="1">
      <alignment horizontal="center" wrapText="1"/>
    </xf>
    <xf numFmtId="0" fontId="3" fillId="8" borderId="35" xfId="0" applyFont="1" applyFill="1" applyBorder="1" applyAlignment="1">
      <alignment horizontal="center" wrapText="1"/>
    </xf>
    <xf numFmtId="0" fontId="3" fillId="8" borderId="36" xfId="0" applyFont="1" applyFill="1" applyBorder="1" applyAlignment="1">
      <alignment horizontal="center" wrapText="1"/>
    </xf>
    <xf numFmtId="0" fontId="3" fillId="8" borderId="53" xfId="0" applyFont="1" applyFill="1" applyBorder="1" applyAlignment="1">
      <alignment horizontal="center" wrapText="1"/>
    </xf>
    <xf numFmtId="0" fontId="3" fillId="9" borderId="54" xfId="0" applyFont="1" applyFill="1" applyBorder="1" applyAlignment="1">
      <alignment horizontal="center" wrapText="1"/>
    </xf>
    <xf numFmtId="0" fontId="3" fillId="9" borderId="55" xfId="0" applyFont="1" applyFill="1" applyBorder="1" applyAlignment="1">
      <alignment horizontal="center" wrapText="1"/>
    </xf>
    <xf numFmtId="0" fontId="3" fillId="9" borderId="0" xfId="0" applyFont="1" applyFill="1" applyAlignment="1">
      <alignment horizontal="center"/>
    </xf>
    <xf numFmtId="0" fontId="3" fillId="9" borderId="11" xfId="0" applyFont="1" applyFill="1" applyBorder="1" applyAlignment="1">
      <alignment horizontal="center" wrapText="1"/>
    </xf>
    <xf numFmtId="0" fontId="3" fillId="9" borderId="12" xfId="0" applyFont="1" applyFill="1" applyBorder="1" applyAlignment="1">
      <alignment horizontal="center" wrapText="1"/>
    </xf>
    <xf numFmtId="0" fontId="3" fillId="9" borderId="56" xfId="0" applyFont="1" applyFill="1" applyBorder="1" applyAlignment="1">
      <alignment horizontal="center" wrapText="1"/>
    </xf>
    <xf numFmtId="0" fontId="3" fillId="8" borderId="2" xfId="0" applyFont="1" applyFill="1" applyBorder="1" applyAlignment="1">
      <alignment horizontal="center" wrapText="1"/>
    </xf>
    <xf numFmtId="0" fontId="3" fillId="8" borderId="3" xfId="0" applyFont="1" applyFill="1" applyBorder="1" applyAlignment="1">
      <alignment horizontal="center" wrapText="1"/>
    </xf>
    <xf numFmtId="0" fontId="3" fillId="8" borderId="13" xfId="0" applyFont="1" applyFill="1" applyBorder="1" applyAlignment="1">
      <alignment horizontal="center" wrapText="1"/>
    </xf>
    <xf numFmtId="0" fontId="3" fillId="8" borderId="14" xfId="0" applyFont="1" applyFill="1" applyBorder="1" applyAlignment="1">
      <alignment horizontal="center" wrapText="1"/>
    </xf>
    <xf numFmtId="0" fontId="3" fillId="8" borderId="15" xfId="0" applyFont="1" applyFill="1" applyBorder="1" applyAlignment="1">
      <alignment horizontal="center" wrapText="1"/>
    </xf>
    <xf numFmtId="0" fontId="3" fillId="9" borderId="1" xfId="0" applyFont="1" applyFill="1" applyBorder="1" applyAlignment="1">
      <alignment horizontal="center"/>
    </xf>
    <xf numFmtId="0" fontId="3" fillId="9" borderId="13" xfId="0" applyFont="1" applyFill="1" applyBorder="1" applyAlignment="1">
      <alignment horizontal="center" wrapText="1"/>
    </xf>
    <xf numFmtId="0" fontId="3" fillId="9" borderId="14" xfId="0" applyFont="1" applyFill="1" applyBorder="1" applyAlignment="1">
      <alignment horizontal="center" wrapText="1"/>
    </xf>
    <xf numFmtId="0" fontId="3" fillId="9" borderId="15" xfId="0" applyFont="1" applyFill="1" applyBorder="1" applyAlignment="1">
      <alignment horizontal="center" wrapText="1"/>
    </xf>
    <xf numFmtId="0" fontId="3" fillId="8" borderId="37" xfId="0" applyFont="1" applyFill="1" applyBorder="1" applyAlignment="1">
      <alignment horizontal="center" wrapText="1"/>
    </xf>
    <xf numFmtId="0" fontId="9" fillId="4" borderId="2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4" borderId="0" xfId="0" applyFont="1" applyFill="1" applyAlignment="1">
      <alignment horizontal="center"/>
    </xf>
    <xf numFmtId="0" fontId="9" fillId="4" borderId="35" xfId="0" applyFont="1" applyFill="1" applyBorder="1" applyAlignment="1">
      <alignment horizontal="center"/>
    </xf>
    <xf numFmtId="0" fontId="9" fillId="4" borderId="36" xfId="0" applyFont="1" applyFill="1" applyBorder="1" applyAlignment="1">
      <alignment horizontal="center"/>
    </xf>
    <xf numFmtId="0" fontId="9" fillId="4" borderId="37" xfId="0" applyFont="1" applyFill="1" applyBorder="1" applyAlignment="1">
      <alignment horizontal="center"/>
    </xf>
    <xf numFmtId="0" fontId="9" fillId="4" borderId="26" xfId="0" applyFont="1" applyFill="1" applyBorder="1" applyAlignment="1">
      <alignment horizontal="center"/>
    </xf>
    <xf numFmtId="0" fontId="9" fillId="4" borderId="27" xfId="0" applyFont="1" applyFill="1" applyBorder="1" applyAlignment="1">
      <alignment horizontal="center"/>
    </xf>
    <xf numFmtId="0" fontId="9" fillId="4" borderId="32" xfId="0" applyFont="1" applyFill="1" applyBorder="1" applyAlignment="1">
      <alignment horizontal="center"/>
    </xf>
    <xf numFmtId="0" fontId="9" fillId="4" borderId="40" xfId="0" applyFont="1" applyFill="1" applyBorder="1" applyAlignment="1">
      <alignment horizontal="center"/>
    </xf>
    <xf numFmtId="0" fontId="9" fillId="4" borderId="41" xfId="0" applyFont="1" applyFill="1" applyBorder="1" applyAlignment="1">
      <alignment horizontal="center"/>
    </xf>
    <xf numFmtId="0" fontId="9" fillId="4" borderId="42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12" fillId="4" borderId="0" xfId="0" applyFont="1" applyFill="1" applyAlignment="1">
      <alignment horizontal="center"/>
    </xf>
    <xf numFmtId="0" fontId="1" fillId="12" borderId="0" xfId="0" applyFont="1" applyFill="1" applyAlignment="1">
      <alignment horizontal="center"/>
    </xf>
    <xf numFmtId="0" fontId="1" fillId="12" borderId="2" xfId="0" applyFont="1" applyFill="1" applyBorder="1" applyAlignment="1">
      <alignment horizontal="center"/>
    </xf>
    <xf numFmtId="0" fontId="1" fillId="12" borderId="3" xfId="0" applyFont="1" applyFill="1" applyBorder="1" applyAlignment="1">
      <alignment horizontal="center"/>
    </xf>
    <xf numFmtId="0" fontId="1" fillId="12" borderId="13" xfId="0" applyFont="1" applyFill="1" applyBorder="1" applyAlignment="1">
      <alignment horizontal="center"/>
    </xf>
    <xf numFmtId="0" fontId="1" fillId="12" borderId="14" xfId="0" applyFont="1" applyFill="1" applyBorder="1" applyAlignment="1">
      <alignment horizontal="center"/>
    </xf>
    <xf numFmtId="0" fontId="1" fillId="12" borderId="15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8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double">
          <color rgb="FFFF0000"/>
        </righ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32" formatCode="_(&quot;$&quot;* #,##0_);_(&quot;$&quot;* \(#,##0\);_(&quot;$&quot;* &quot;-&quot;_);_(@_)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32" formatCode="_(&quot;$&quot;* #,##0_);_(&quot;$&quot;* \(#,##0\);_(&quot;$&quot;* &quot;-&quot;_);_(@_)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32" formatCode="_(&quot;$&quot;* #,##0_);_(&quot;$&quot;* \(#,##0\);_(&quot;$&quot;* &quot;-&quot;_);_(@_)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32" formatCode="_(&quot;$&quot;* #,##0_);_(&quot;$&quot;* \(#,##0\);_(&quot;$&quot;* &quot;-&quot;_);_(@_)"/>
      <fill>
        <patternFill patternType="none">
          <fgColor indexed="64"/>
          <bgColor auto="1"/>
        </patternFill>
      </fill>
      <border diagonalUp="0" diagonalDown="0">
        <left style="double">
          <color rgb="FFFF0000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32" formatCode="_(&quot;$&quot;* #,##0_);_(&quot;$&quot;* \(#,##0\);_(&quot;$&quot;* &quot;-&quot;_);_(@_)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double">
          <color rgb="FFFF0000"/>
        </righ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32" formatCode="_(&quot;$&quot;* #,##0_);_(&quot;$&quot;* \(#,##0\);_(&quot;$&quot;* &quot;-&quot;_);_(@_)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32" formatCode="_(&quot;$&quot;* #,##0_);_(&quot;$&quot;* \(#,##0\);_(&quot;$&quot;* &quot;-&quot;_);_(@_)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32" formatCode="_(&quot;$&quot;* #,##0_);_(&quot;$&quot;* \(#,##0\);_(&quot;$&quot;* &quot;-&quot;_);_(@_)"/>
      <fill>
        <patternFill patternType="none">
          <fgColor indexed="64"/>
          <bgColor auto="1"/>
        </patternFill>
      </fill>
      <border diagonalUp="0" diagonalDown="0">
        <left style="double">
          <color rgb="FFFF0000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165" formatCode="_([$$-409]* #,##0_);_([$$-409]* \(#,##0\);_([$$-409]* &quot;-&quot;_);_(@_)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double">
          <color rgb="FFFF0000"/>
        </righ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32" formatCode="_(&quot;$&quot;* #,##0_);_(&quot;$&quot;* \(#,##0\);_(&quot;$&quot;* &quot;-&quot;_);_(@_)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165" formatCode="_([$$-409]* #,##0_);_([$$-409]* \(#,##0\);_([$$-409]* &quot;-&quot;_);_(@_)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32" formatCode="_(&quot;$&quot;* #,##0_);_(&quot;$&quot;* \(#,##0\);_(&quot;$&quot;* &quot;-&quot;_);_(@_)"/>
      <fill>
        <patternFill patternType="none">
          <fgColor indexed="64"/>
          <bgColor auto="1"/>
        </patternFill>
      </fill>
      <border diagonalUp="0" diagonalDown="0">
        <left style="double">
          <color rgb="FFFF0000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165" formatCode="_([$$-409]* #,##0_);_([$$-409]* \(#,##0\);_([$$-409]* &quot;-&quot;_);_(@_)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double">
          <color rgb="FFFF0000"/>
        </righ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165" formatCode="_([$$-409]* #,##0_);_([$$-409]* \(#,##0\);_([$$-409]* &quot;-&quot;_);_(@_)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165" formatCode="_([$$-409]* #,##0_);_([$$-409]* \(#,##0\);_([$$-409]* &quot;-&quot;_);_(@_)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165" formatCode="_([$$-409]* #,##0_);_([$$-409]* \(#,##0\);_([$$-409]* &quot;-&quot;_);_(@_)"/>
      <fill>
        <patternFill patternType="none">
          <fgColor indexed="64"/>
          <bgColor auto="1"/>
        </patternFill>
      </fill>
      <border diagonalUp="0" diagonalDown="0">
        <left style="double">
          <color rgb="FFFF0000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19" formatCode="m/d/yyyy"/>
      <fill>
        <patternFill patternType="solid">
          <fgColor indexed="64"/>
          <bgColor theme="8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19" formatCode="m/d/yyyy"/>
      <fill>
        <patternFill patternType="solid">
          <fgColor indexed="64"/>
          <bgColor theme="8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32" formatCode="_(&quot;$&quot;* #,##0_);_(&quot;$&quot;* \(#,##0\);_(&quot;$&quot;* &quot;-&quot;_);_(@_)"/>
      <fill>
        <patternFill>
          <fgColor indexed="64"/>
          <bgColor theme="8" tint="0.5999938962981048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32" formatCode="_(&quot;$&quot;* #,##0_);_(&quot;$&quot;* \(#,##0\);_(&quot;$&quot;* &quot;-&quot;_);_(@_)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32" formatCode="_(&quot;$&quot;* #,##0_);_(&quot;$&quot;* \(#,##0\);_(&quot;$&quot;* &quot;-&quot;_);_(@_)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32" formatCode="_(&quot;$&quot;* #,##0_);_(&quot;$&quot;* \(#,##0\);_(&quot;$&quot;* &quot;-&quot;_);_(@_)"/>
      <fill>
        <patternFill patternType="none">
          <fgColor indexed="64"/>
          <bgColor auto="1"/>
        </patternFill>
      </fill>
      <border diagonalUp="0" diagonalDown="0">
        <left style="double">
          <color rgb="FFFF0000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32" formatCode="_(&quot;$&quot;* #,##0_);_(&quot;$&quot;* \(#,##0\);_(&quot;$&quot;* &quot;-&quot;_);_(@_)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32" formatCode="_(&quot;$&quot;* #,##0_);_(&quot;$&quot;* \(#,##0\);_(&quot;$&quot;* &quot;-&quot;_);_(@_)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32" formatCode="_(&quot;$&quot;* #,##0_);_(&quot;$&quot;* \(#,##0\);_(&quot;$&quot;* &quot;-&quot;_);_(@_)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32" formatCode="_(&quot;$&quot;* #,##0_);_(&quot;$&quot;* \(#,##0\);_(&quot;$&quot;* &quot;-&quot;_);_(@_)"/>
      <fill>
        <patternFill patternType="none">
          <fgColor indexed="64"/>
          <bgColor auto="1"/>
        </patternFill>
      </fill>
      <border diagonalUp="0" diagonalDown="0">
        <left style="double">
          <color rgb="FFFF0000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32" formatCode="_(&quot;$&quot;* #,##0_);_(&quot;$&quot;* \(#,##0\);_(&quot;$&quot;* &quot;-&quot;_);_(@_)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32" formatCode="_(&quot;$&quot;* #,##0_);_(&quot;$&quot;* \(#,##0\);_(&quot;$&quot;* &quot;-&quot;_);_(@_)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32" formatCode="_(&quot;$&quot;* #,##0_);_(&quot;$&quot;* \(#,##0\);_(&quot;$&quot;* &quot;-&quot;_);_(@_)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32" formatCode="_(&quot;$&quot;* #,##0_);_(&quot;$&quot;* \(#,##0\);_(&quot;$&quot;* &quot;-&quot;_);_(@_)"/>
      <fill>
        <patternFill patternType="none">
          <fgColor indexed="64"/>
          <bgColor auto="1"/>
        </patternFill>
      </fill>
      <border diagonalUp="0" diagonalDown="0">
        <left style="double">
          <color rgb="FFFF0000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165" formatCode="_([$$-409]* #,##0_);_([$$-409]* \(#,##0\);_([$$-409]* &quot;-&quot;_);_(@_)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165" formatCode="_([$$-409]* #,##0_);_([$$-409]* \(#,##0\);_([$$-409]* &quot;-&quot;_);_(@_)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165" formatCode="_([$$-409]* #,##0_);_([$$-409]* \(#,##0\);_([$$-409]* &quot;-&quot;_);_(@_)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165" formatCode="_([$$-409]* #,##0_);_([$$-409]* \(#,##0\);_([$$-409]* &quot;-&quot;_);_(@_)"/>
      <fill>
        <patternFill patternType="none">
          <fgColor indexed="64"/>
          <bgColor auto="1"/>
        </patternFill>
      </fill>
      <border diagonalUp="0" diagonalDown="0">
        <left style="double">
          <color rgb="FFFF0000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19" formatCode="m/d/yyyy"/>
      <fill>
        <patternFill patternType="solid">
          <fgColor indexed="64"/>
          <bgColor theme="8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19" formatCode="m/d/yyyy"/>
      <fill>
        <patternFill patternType="solid">
          <fgColor indexed="64"/>
          <bgColor theme="8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32" formatCode="_(&quot;$&quot;* #,##0_);_(&quot;$&quot;* \(#,##0\);_(&quot;$&quot;* &quot;-&quot;_);_(@_)"/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5" formatCode="#,##0_);\(#,##0\)"/>
      <fill>
        <patternFill patternType="none">
          <fgColor indexed="64"/>
          <bgColor auto="1"/>
        </patternFill>
      </fill>
      <border diagonalUp="0" diagonalDown="0">
        <left/>
        <right style="double">
          <color rgb="FFFF000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13" formatCode="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13" formatCode="0%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32" formatCode="_(&quot;$&quot;* #,##0_);_(&quot;$&quot;* \(#,##0\);_(&quot;$&quot;* &quot;-&quot;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32" formatCode="_(&quot;$&quot;* #,##0_);_(&quot;$&quot;* \(#,##0\);_(&quot;$&quot;* &quot;-&quot;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32" formatCode="_(&quot;$&quot;* #,##0_);_(&quot;$&quot;* \(#,##0\);_(&quot;$&quot;* &quot;-&quot;_);_(@_)"/>
      <fill>
        <patternFill patternType="none">
          <fgColor indexed="64"/>
          <bgColor auto="1"/>
        </patternFill>
      </fill>
      <border diagonalUp="0" diagonalDown="0">
        <left style="double">
          <color rgb="FFFF0000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32" formatCode="_(&quot;$&quot;* #,##0_);_(&quot;$&quot;* \(#,##0\);_(&quot;$&quot;* &quot;-&quot;_);_(@_)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32" formatCode="_(&quot;$&quot;* #,##0_);_(&quot;$&quot;* \(#,##0\);_(&quot;$&quot;* &quot;-&quot;_);_(@_)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32" formatCode="_(&quot;$&quot;* #,##0_);_(&quot;$&quot;* \(#,##0\);_(&quot;$&quot;* &quot;-&quot;_);_(@_)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32" formatCode="_(&quot;$&quot;* #,##0_);_(&quot;$&quot;* \(#,##0\);_(&quot;$&quot;* &quot;-&quot;_);_(@_)"/>
      <fill>
        <patternFill patternType="none">
          <fgColor indexed="64"/>
          <bgColor auto="1"/>
        </patternFill>
      </fill>
      <border diagonalUp="0" diagonalDown="0">
        <left style="double">
          <color rgb="FFFF0000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double">
          <color rgb="FFFF0000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32" formatCode="_(&quot;$&quot;* #,##0_);_(&quot;$&quot;* \(#,##0\);_(&quot;$&quot;* &quot;-&quot;_);_(@_)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32" formatCode="_(&quot;$&quot;* #,##0_);_(&quot;$&quot;* \(#,##0\);_(&quot;$&quot;* &quot;-&quot;_);_(@_)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32" formatCode="_(&quot;$&quot;* #,##0_);_(&quot;$&quot;* \(#,##0\);_(&quot;$&quot;* &quot;-&quot;_);_(@_)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32" formatCode="_(&quot;$&quot;* #,##0_);_(&quot;$&quot;* \(#,##0\);_(&quot;$&quot;* &quot;-&quot;_);_(@_)"/>
      <fill>
        <patternFill patternType="none">
          <fgColor indexed="64"/>
          <bgColor auto="1"/>
        </patternFill>
      </fill>
      <border diagonalUp="0" diagonalDown="0">
        <left style="double">
          <color rgb="FFFF0000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165" formatCode="_([$$-409]* #,##0_);_([$$-409]* \(#,##0\);_([$$-409]* &quot;-&quot;_);_(@_)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165" formatCode="_([$$-409]* #,##0_);_([$$-409]* \(#,##0\);_([$$-409]* &quot;-&quot;_);_(@_)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165" formatCode="_([$$-409]* #,##0_);_([$$-409]* \(#,##0\);_([$$-409]* &quot;-&quot;_);_(@_)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165" formatCode="_([$$-409]* #,##0_);_([$$-409]* \(#,##0\);_([$$-409]* &quot;-&quot;_);_(@_)"/>
      <fill>
        <patternFill patternType="none">
          <fgColor indexed="64"/>
          <bgColor auto="1"/>
        </patternFill>
      </fill>
      <border diagonalUp="0" diagonalDown="0">
        <left style="double">
          <color rgb="FFFF0000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19" formatCode="m/d/yyyy"/>
      <fill>
        <patternFill patternType="solid">
          <fgColor indexed="64"/>
          <bgColor theme="7" tint="0.5999938962981048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19" formatCode="m/d/yyyy"/>
      <fill>
        <patternFill patternType="solid">
          <fgColor indexed="64"/>
          <bgColor theme="7" tint="0.5999938962981048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fill>
        <patternFill patternType="solid">
          <fgColor indexed="64"/>
          <bgColor theme="7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fill>
        <patternFill patternType="solid">
          <fgColor indexed="64"/>
          <bgColor theme="7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32" formatCode="_(&quot;$&quot;* #,##0_);_(&quot;$&quot;* \(#,##0\);_(&quot;$&quot;* &quot;-&quot;_);_(@_)"/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</dxf>
  </dxfs>
  <tableStyles count="0" defaultTableStyle="TableStyleMedium2" defaultPivotStyle="PivotStyleLight16"/>
  <colors>
    <mruColors>
      <color rgb="FFADFDCB"/>
      <color rgb="FFA2DEFC"/>
      <color rgb="FFFDC7F3"/>
      <color rgb="FFC0AE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IOWA NDR PROGRAM </a:t>
            </a:r>
            <a:endParaRPr lang="en-US">
              <a:effectLst/>
            </a:endParaRPr>
          </a:p>
          <a:p>
            <a:pPr>
              <a:defRPr/>
            </a:pPr>
            <a:r>
              <a:rPr lang="en-US" sz="1800" b="0" i="0" baseline="0">
                <a:effectLst/>
              </a:rPr>
              <a:t>Housing Accomplishments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372595846917501E-2"/>
          <c:y val="0.14557375378870632"/>
          <c:w val="0.93557202278949847"/>
          <c:h val="0.60862319652072383"/>
        </c:manualLayout>
      </c:layout>
      <c:lineChart>
        <c:grouping val="standard"/>
        <c:varyColors val="0"/>
        <c:ser>
          <c:idx val="0"/>
          <c:order val="0"/>
          <c:tx>
            <c:strRef>
              <c:f>'Performance Proj'!$C$1</c:f>
              <c:strCache>
                <c:ptCount val="1"/>
                <c:pt idx="0">
                  <c:v>Total Projection of Housing Units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'Performance Proj'!$A$2:$A$24</c:f>
              <c:numCache>
                <c:formatCode>m/d/yyyy</c:formatCode>
                <c:ptCount val="23"/>
                <c:pt idx="0">
                  <c:v>42644</c:v>
                </c:pt>
                <c:pt idx="1">
                  <c:v>42736</c:v>
                </c:pt>
                <c:pt idx="2">
                  <c:v>42826</c:v>
                </c:pt>
                <c:pt idx="3">
                  <c:v>42917</c:v>
                </c:pt>
                <c:pt idx="4">
                  <c:v>43009</c:v>
                </c:pt>
                <c:pt idx="5">
                  <c:v>43101</c:v>
                </c:pt>
                <c:pt idx="6">
                  <c:v>43191</c:v>
                </c:pt>
                <c:pt idx="7">
                  <c:v>43282</c:v>
                </c:pt>
                <c:pt idx="8">
                  <c:v>43374</c:v>
                </c:pt>
                <c:pt idx="9">
                  <c:v>43466</c:v>
                </c:pt>
                <c:pt idx="10">
                  <c:v>43556</c:v>
                </c:pt>
                <c:pt idx="11">
                  <c:v>43647</c:v>
                </c:pt>
                <c:pt idx="12">
                  <c:v>43739</c:v>
                </c:pt>
                <c:pt idx="13">
                  <c:v>43831</c:v>
                </c:pt>
                <c:pt idx="14">
                  <c:v>43922</c:v>
                </c:pt>
                <c:pt idx="15">
                  <c:v>44013</c:v>
                </c:pt>
                <c:pt idx="16">
                  <c:v>44105</c:v>
                </c:pt>
                <c:pt idx="17">
                  <c:v>44197</c:v>
                </c:pt>
                <c:pt idx="18">
                  <c:v>44287</c:v>
                </c:pt>
                <c:pt idx="19">
                  <c:v>44378</c:v>
                </c:pt>
                <c:pt idx="20">
                  <c:v>44470</c:v>
                </c:pt>
                <c:pt idx="21">
                  <c:v>44562</c:v>
                </c:pt>
                <c:pt idx="22">
                  <c:v>44652</c:v>
                </c:pt>
              </c:numCache>
            </c:numRef>
          </c:cat>
          <c:val>
            <c:numRef>
              <c:f>'Performance Proj'!$C$2:$C$24</c:f>
              <c:numCache>
                <c:formatCode>#,##0</c:formatCode>
                <c:ptCount val="23"/>
                <c:pt idx="0">
                  <c:v>0</c:v>
                </c:pt>
                <c:pt idx="1">
                  <c:v>1</c:v>
                </c:pt>
                <c:pt idx="2">
                  <c:v>7</c:v>
                </c:pt>
                <c:pt idx="3">
                  <c:v>27</c:v>
                </c:pt>
                <c:pt idx="4">
                  <c:v>52</c:v>
                </c:pt>
                <c:pt idx="5">
                  <c:v>67</c:v>
                </c:pt>
                <c:pt idx="6">
                  <c:v>77</c:v>
                </c:pt>
                <c:pt idx="7">
                  <c:v>97</c:v>
                </c:pt>
                <c:pt idx="8">
                  <c:v>122</c:v>
                </c:pt>
                <c:pt idx="9">
                  <c:v>137</c:v>
                </c:pt>
                <c:pt idx="10">
                  <c:v>147</c:v>
                </c:pt>
                <c:pt idx="11">
                  <c:v>161</c:v>
                </c:pt>
                <c:pt idx="12">
                  <c:v>181</c:v>
                </c:pt>
                <c:pt idx="13">
                  <c:v>201</c:v>
                </c:pt>
                <c:pt idx="14">
                  <c:v>221</c:v>
                </c:pt>
                <c:pt idx="15">
                  <c:v>241</c:v>
                </c:pt>
                <c:pt idx="16">
                  <c:v>266</c:v>
                </c:pt>
                <c:pt idx="17">
                  <c:v>289</c:v>
                </c:pt>
                <c:pt idx="18">
                  <c:v>320</c:v>
                </c:pt>
                <c:pt idx="19">
                  <c:v>320</c:v>
                </c:pt>
                <c:pt idx="20">
                  <c:v>320</c:v>
                </c:pt>
                <c:pt idx="21">
                  <c:v>320</c:v>
                </c:pt>
                <c:pt idx="22">
                  <c:v>320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5C-42FF-B839-DC4B3ED47C51}"/>
            </c:ext>
          </c:extLst>
        </c:ser>
        <c:ser>
          <c:idx val="1"/>
          <c:order val="1"/>
          <c:tx>
            <c:strRef>
              <c:f>'Performance Proj'!$E$1</c:f>
              <c:strCache>
                <c:ptCount val="1"/>
                <c:pt idx="0">
                  <c:v>Total Housing Units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'Performance Proj'!$A$2:$A$24</c:f>
              <c:numCache>
                <c:formatCode>m/d/yyyy</c:formatCode>
                <c:ptCount val="23"/>
                <c:pt idx="0">
                  <c:v>42644</c:v>
                </c:pt>
                <c:pt idx="1">
                  <c:v>42736</c:v>
                </c:pt>
                <c:pt idx="2">
                  <c:v>42826</c:v>
                </c:pt>
                <c:pt idx="3">
                  <c:v>42917</c:v>
                </c:pt>
                <c:pt idx="4">
                  <c:v>43009</c:v>
                </c:pt>
                <c:pt idx="5">
                  <c:v>43101</c:v>
                </c:pt>
                <c:pt idx="6">
                  <c:v>43191</c:v>
                </c:pt>
                <c:pt idx="7">
                  <c:v>43282</c:v>
                </c:pt>
                <c:pt idx="8">
                  <c:v>43374</c:v>
                </c:pt>
                <c:pt idx="9">
                  <c:v>43466</c:v>
                </c:pt>
                <c:pt idx="10">
                  <c:v>43556</c:v>
                </c:pt>
                <c:pt idx="11">
                  <c:v>43647</c:v>
                </c:pt>
                <c:pt idx="12">
                  <c:v>43739</c:v>
                </c:pt>
                <c:pt idx="13">
                  <c:v>43831</c:v>
                </c:pt>
                <c:pt idx="14">
                  <c:v>43922</c:v>
                </c:pt>
                <c:pt idx="15">
                  <c:v>44013</c:v>
                </c:pt>
                <c:pt idx="16">
                  <c:v>44105</c:v>
                </c:pt>
                <c:pt idx="17">
                  <c:v>44197</c:v>
                </c:pt>
                <c:pt idx="18">
                  <c:v>44287</c:v>
                </c:pt>
                <c:pt idx="19">
                  <c:v>44378</c:v>
                </c:pt>
                <c:pt idx="20">
                  <c:v>44470</c:v>
                </c:pt>
                <c:pt idx="21">
                  <c:v>44562</c:v>
                </c:pt>
                <c:pt idx="22">
                  <c:v>44652</c:v>
                </c:pt>
              </c:numCache>
            </c:numRef>
          </c:cat>
          <c:val>
            <c:numRef>
              <c:f>'Performance Proj'!$E$2:$E$24</c:f>
              <c:numCache>
                <c:formatCode>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</c:v>
                </c:pt>
                <c:pt idx="5">
                  <c:v>15</c:v>
                </c:pt>
                <c:pt idx="6">
                  <c:v>34</c:v>
                </c:pt>
                <c:pt idx="7">
                  <c:v>43</c:v>
                </c:pt>
                <c:pt idx="8">
                  <c:v>54</c:v>
                </c:pt>
                <c:pt idx="9">
                  <c:v>60</c:v>
                </c:pt>
                <c:pt idx="10">
                  <c:v>68</c:v>
                </c:pt>
                <c:pt idx="11">
                  <c:v>119</c:v>
                </c:pt>
                <c:pt idx="12">
                  <c:v>197</c:v>
                </c:pt>
                <c:pt idx="13">
                  <c:v>199</c:v>
                </c:pt>
                <c:pt idx="14">
                  <c:v>215</c:v>
                </c:pt>
                <c:pt idx="15">
                  <c:v>225</c:v>
                </c:pt>
                <c:pt idx="16">
                  <c:v>236</c:v>
                </c:pt>
                <c:pt idx="17">
                  <c:v>244</c:v>
                </c:pt>
                <c:pt idx="18">
                  <c:v>250</c:v>
                </c:pt>
                <c:pt idx="19">
                  <c:v>264</c:v>
                </c:pt>
                <c:pt idx="20">
                  <c:v>272</c:v>
                </c:pt>
                <c:pt idx="21">
                  <c:v>275</c:v>
                </c:pt>
                <c:pt idx="22">
                  <c:v>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5C-42FF-B839-DC4B3ED47C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95905168"/>
        <c:axId val="1395908912"/>
      </c:lineChart>
      <c:dateAx>
        <c:axId val="139590516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5908912"/>
        <c:crosses val="autoZero"/>
        <c:auto val="1"/>
        <c:lblOffset val="100"/>
        <c:baseTimeUnit val="months"/>
      </c:dateAx>
      <c:valAx>
        <c:axId val="1395908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5905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IOWA NDR PROGRAM </a:t>
            </a:r>
            <a:endParaRPr lang="en-US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Infrastructure Accomplishments</a:t>
            </a:r>
            <a:endParaRPr lang="en-US">
              <a:effectLst/>
            </a:endParaRPr>
          </a:p>
        </c:rich>
      </c:tx>
      <c:layout>
        <c:manualLayout>
          <c:xMode val="edge"/>
          <c:yMode val="edge"/>
          <c:x val="0.38083408340834085"/>
          <c:y val="6.5762424696845581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1372595846917501E-2"/>
          <c:y val="0.14557375378870632"/>
          <c:w val="0.93557202278949847"/>
          <c:h val="0.60862319652072383"/>
        </c:manualLayout>
      </c:layout>
      <c:lineChart>
        <c:grouping val="standard"/>
        <c:varyColors val="0"/>
        <c:ser>
          <c:idx val="2"/>
          <c:order val="0"/>
          <c:tx>
            <c:strRef>
              <c:f>'Performance Proj'!$C$28</c:f>
              <c:strCache>
                <c:ptCount val="1"/>
                <c:pt idx="0">
                  <c:v>Total Projection of Watershed Practices &amp; Public Facilities</c:v>
                </c:pt>
              </c:strCache>
            </c:strRef>
          </c:tx>
          <c:marker>
            <c:symbol val="none"/>
          </c:marker>
          <c:cat>
            <c:numRef>
              <c:f>'Performance Proj'!$A$29:$A$54</c:f>
              <c:numCache>
                <c:formatCode>m/d/yyyy</c:formatCode>
                <c:ptCount val="26"/>
                <c:pt idx="0">
                  <c:v>42644</c:v>
                </c:pt>
                <c:pt idx="1">
                  <c:v>42736</c:v>
                </c:pt>
                <c:pt idx="2">
                  <c:v>42826</c:v>
                </c:pt>
                <c:pt idx="3">
                  <c:v>42917</c:v>
                </c:pt>
                <c:pt idx="4">
                  <c:v>43009</c:v>
                </c:pt>
                <c:pt idx="5">
                  <c:v>43101</c:v>
                </c:pt>
                <c:pt idx="6">
                  <c:v>43191</c:v>
                </c:pt>
                <c:pt idx="7">
                  <c:v>43282</c:v>
                </c:pt>
                <c:pt idx="8">
                  <c:v>43374</c:v>
                </c:pt>
                <c:pt idx="9">
                  <c:v>43466</c:v>
                </c:pt>
                <c:pt idx="10">
                  <c:v>43556</c:v>
                </c:pt>
                <c:pt idx="11">
                  <c:v>43647</c:v>
                </c:pt>
                <c:pt idx="12">
                  <c:v>43739</c:v>
                </c:pt>
                <c:pt idx="13">
                  <c:v>43831</c:v>
                </c:pt>
                <c:pt idx="14">
                  <c:v>43922</c:v>
                </c:pt>
                <c:pt idx="15">
                  <c:v>44013</c:v>
                </c:pt>
                <c:pt idx="16">
                  <c:v>44105</c:v>
                </c:pt>
                <c:pt idx="17">
                  <c:v>44197</c:v>
                </c:pt>
                <c:pt idx="18">
                  <c:v>44287</c:v>
                </c:pt>
                <c:pt idx="19">
                  <c:v>44378</c:v>
                </c:pt>
                <c:pt idx="20">
                  <c:v>44470</c:v>
                </c:pt>
                <c:pt idx="21">
                  <c:v>44562</c:v>
                </c:pt>
                <c:pt idx="22">
                  <c:v>44652</c:v>
                </c:pt>
                <c:pt idx="23">
                  <c:v>44743</c:v>
                </c:pt>
                <c:pt idx="24">
                  <c:v>44835</c:v>
                </c:pt>
                <c:pt idx="25">
                  <c:v>44927</c:v>
                </c:pt>
              </c:numCache>
            </c:numRef>
          </c:cat>
          <c:val>
            <c:numRef>
              <c:f>'Performance Proj'!$C$29:$C$54</c:f>
              <c:numCache>
                <c:formatCode>#,##0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33.449567099567105</c:v>
                </c:pt>
                <c:pt idx="4">
                  <c:v>66.89913419913421</c:v>
                </c:pt>
                <c:pt idx="5">
                  <c:v>100.34870129870131</c:v>
                </c:pt>
                <c:pt idx="6">
                  <c:v>133.79826839826842</c:v>
                </c:pt>
                <c:pt idx="7">
                  <c:v>167.24783549783552</c:v>
                </c:pt>
                <c:pt idx="8">
                  <c:v>200.69740259740263</c:v>
                </c:pt>
                <c:pt idx="9">
                  <c:v>234.14696969696973</c:v>
                </c:pt>
                <c:pt idx="10">
                  <c:v>267.59653679653684</c:v>
                </c:pt>
                <c:pt idx="11">
                  <c:v>301.04610389610394</c:v>
                </c:pt>
                <c:pt idx="12">
                  <c:v>334.49567099567105</c:v>
                </c:pt>
                <c:pt idx="13">
                  <c:v>367.94523809523815</c:v>
                </c:pt>
                <c:pt idx="14">
                  <c:v>401.39480519480526</c:v>
                </c:pt>
                <c:pt idx="15">
                  <c:v>434.84437229437236</c:v>
                </c:pt>
                <c:pt idx="16">
                  <c:v>468.29393939393947</c:v>
                </c:pt>
                <c:pt idx="17">
                  <c:v>501.74350649350657</c:v>
                </c:pt>
                <c:pt idx="18">
                  <c:v>535.19307359307368</c:v>
                </c:pt>
                <c:pt idx="19">
                  <c:v>570.64264069264073</c:v>
                </c:pt>
                <c:pt idx="20">
                  <c:v>604.09220779220777</c:v>
                </c:pt>
                <c:pt idx="21">
                  <c:v>637.54177489177482</c:v>
                </c:pt>
                <c:pt idx="22">
                  <c:v>673.99134199134187</c:v>
                </c:pt>
                <c:pt idx="23">
                  <c:v>694.09090909090901</c:v>
                </c:pt>
                <c:pt idx="24">
                  <c:v>707.99999999999989</c:v>
                </c:pt>
                <c:pt idx="25">
                  <c:v>707.99999999999989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5BE-4A5E-9BC6-EAD1836F3672}"/>
            </c:ext>
          </c:extLst>
        </c:ser>
        <c:ser>
          <c:idx val="3"/>
          <c:order val="1"/>
          <c:tx>
            <c:strRef>
              <c:f>'Performance Proj'!$E$28</c:f>
              <c:strCache>
                <c:ptCount val="1"/>
                <c:pt idx="0">
                  <c:v>Total Watersheds Practices &amp; Public Facilities</c:v>
                </c:pt>
              </c:strCache>
            </c:strRef>
          </c:tx>
          <c:marker>
            <c:symbol val="none"/>
          </c:marker>
          <c:cat>
            <c:numRef>
              <c:f>'Performance Proj'!$A$29:$A$54</c:f>
              <c:numCache>
                <c:formatCode>m/d/yyyy</c:formatCode>
                <c:ptCount val="26"/>
                <c:pt idx="0">
                  <c:v>42644</c:v>
                </c:pt>
                <c:pt idx="1">
                  <c:v>42736</c:v>
                </c:pt>
                <c:pt idx="2">
                  <c:v>42826</c:v>
                </c:pt>
                <c:pt idx="3">
                  <c:v>42917</c:v>
                </c:pt>
                <c:pt idx="4">
                  <c:v>43009</c:v>
                </c:pt>
                <c:pt idx="5">
                  <c:v>43101</c:v>
                </c:pt>
                <c:pt idx="6">
                  <c:v>43191</c:v>
                </c:pt>
                <c:pt idx="7">
                  <c:v>43282</c:v>
                </c:pt>
                <c:pt idx="8">
                  <c:v>43374</c:v>
                </c:pt>
                <c:pt idx="9">
                  <c:v>43466</c:v>
                </c:pt>
                <c:pt idx="10">
                  <c:v>43556</c:v>
                </c:pt>
                <c:pt idx="11">
                  <c:v>43647</c:v>
                </c:pt>
                <c:pt idx="12">
                  <c:v>43739</c:v>
                </c:pt>
                <c:pt idx="13">
                  <c:v>43831</c:v>
                </c:pt>
                <c:pt idx="14">
                  <c:v>43922</c:v>
                </c:pt>
                <c:pt idx="15">
                  <c:v>44013</c:v>
                </c:pt>
                <c:pt idx="16">
                  <c:v>44105</c:v>
                </c:pt>
                <c:pt idx="17">
                  <c:v>44197</c:v>
                </c:pt>
                <c:pt idx="18">
                  <c:v>44287</c:v>
                </c:pt>
                <c:pt idx="19">
                  <c:v>44378</c:v>
                </c:pt>
                <c:pt idx="20">
                  <c:v>44470</c:v>
                </c:pt>
                <c:pt idx="21">
                  <c:v>44562</c:v>
                </c:pt>
                <c:pt idx="22">
                  <c:v>44652</c:v>
                </c:pt>
                <c:pt idx="23">
                  <c:v>44743</c:v>
                </c:pt>
                <c:pt idx="24">
                  <c:v>44835</c:v>
                </c:pt>
                <c:pt idx="25">
                  <c:v>44927</c:v>
                </c:pt>
              </c:numCache>
            </c:numRef>
          </c:cat>
          <c:val>
            <c:numRef>
              <c:f>'Performance Proj'!$E$29:$E$54</c:f>
              <c:numCache>
                <c:formatCode>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52</c:v>
                </c:pt>
                <c:pt idx="13">
                  <c:v>52</c:v>
                </c:pt>
                <c:pt idx="14">
                  <c:v>127</c:v>
                </c:pt>
                <c:pt idx="15">
                  <c:v>202</c:v>
                </c:pt>
                <c:pt idx="16">
                  <c:v>214</c:v>
                </c:pt>
                <c:pt idx="17">
                  <c:v>222</c:v>
                </c:pt>
                <c:pt idx="18">
                  <c:v>248</c:v>
                </c:pt>
                <c:pt idx="19">
                  <c:v>325</c:v>
                </c:pt>
                <c:pt idx="20">
                  <c:v>406</c:v>
                </c:pt>
                <c:pt idx="21">
                  <c:v>529</c:v>
                </c:pt>
                <c:pt idx="22">
                  <c:v>684</c:v>
                </c:pt>
                <c:pt idx="23">
                  <c:v>687</c:v>
                </c:pt>
                <c:pt idx="24">
                  <c:v>687</c:v>
                </c:pt>
                <c:pt idx="25">
                  <c:v>687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5BE-4A5E-9BC6-EAD1836F36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95905168"/>
        <c:axId val="1395908912"/>
        <c:extLst>
          <c:ext xmlns:c15="http://schemas.microsoft.com/office/drawing/2012/chart" uri="{02D57815-91ED-43cb-92C2-25804820EDAC}">
            <c15:filteredLineSeries>
              <c15:ser>
                <c:idx val="0"/>
                <c:order val="2"/>
                <c:tx>
                  <c:strRef>
                    <c:extLst>
                      <c:ext uri="{02D57815-91ED-43cb-92C2-25804820EDAC}">
                        <c15:formulaRef>
                          <c15:sqref>'Performance Proj'!$C$1</c15:sqref>
                        </c15:formulaRef>
                      </c:ext>
                    </c:extLst>
                    <c:strCache>
                      <c:ptCount val="1"/>
                      <c:pt idx="0">
                        <c:v>Total Projection of Housing Units 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'Performance Proj'!$A$2:$A$24</c15:sqref>
                        </c15:formulaRef>
                      </c:ext>
                    </c:extLst>
                    <c:numCache>
                      <c:formatCode>m/d/yyyy</c:formatCode>
                      <c:ptCount val="23"/>
                      <c:pt idx="0">
                        <c:v>42644</c:v>
                      </c:pt>
                      <c:pt idx="1">
                        <c:v>42736</c:v>
                      </c:pt>
                      <c:pt idx="2">
                        <c:v>42826</c:v>
                      </c:pt>
                      <c:pt idx="3">
                        <c:v>42917</c:v>
                      </c:pt>
                      <c:pt idx="4">
                        <c:v>43009</c:v>
                      </c:pt>
                      <c:pt idx="5">
                        <c:v>43101</c:v>
                      </c:pt>
                      <c:pt idx="6">
                        <c:v>43191</c:v>
                      </c:pt>
                      <c:pt idx="7">
                        <c:v>43282</c:v>
                      </c:pt>
                      <c:pt idx="8">
                        <c:v>43374</c:v>
                      </c:pt>
                      <c:pt idx="9">
                        <c:v>43466</c:v>
                      </c:pt>
                      <c:pt idx="10">
                        <c:v>43556</c:v>
                      </c:pt>
                      <c:pt idx="11">
                        <c:v>43647</c:v>
                      </c:pt>
                      <c:pt idx="12">
                        <c:v>43739</c:v>
                      </c:pt>
                      <c:pt idx="13">
                        <c:v>43831</c:v>
                      </c:pt>
                      <c:pt idx="14">
                        <c:v>43922</c:v>
                      </c:pt>
                      <c:pt idx="15">
                        <c:v>44013</c:v>
                      </c:pt>
                      <c:pt idx="16">
                        <c:v>44105</c:v>
                      </c:pt>
                      <c:pt idx="17">
                        <c:v>44197</c:v>
                      </c:pt>
                      <c:pt idx="18">
                        <c:v>44287</c:v>
                      </c:pt>
                      <c:pt idx="19">
                        <c:v>44378</c:v>
                      </c:pt>
                      <c:pt idx="20">
                        <c:v>44470</c:v>
                      </c:pt>
                      <c:pt idx="21">
                        <c:v>44562</c:v>
                      </c:pt>
                      <c:pt idx="22">
                        <c:v>44652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'Performance Proj'!$C$2:$C$24</c15:sqref>
                        </c15:formulaRef>
                      </c:ext>
                    </c:extLst>
                    <c:numCache>
                      <c:formatCode>#,##0</c:formatCode>
                      <c:ptCount val="23"/>
                      <c:pt idx="0">
                        <c:v>0</c:v>
                      </c:pt>
                      <c:pt idx="1">
                        <c:v>1</c:v>
                      </c:pt>
                      <c:pt idx="2">
                        <c:v>7</c:v>
                      </c:pt>
                      <c:pt idx="3">
                        <c:v>27</c:v>
                      </c:pt>
                      <c:pt idx="4">
                        <c:v>52</c:v>
                      </c:pt>
                      <c:pt idx="5">
                        <c:v>67</c:v>
                      </c:pt>
                      <c:pt idx="6">
                        <c:v>77</c:v>
                      </c:pt>
                      <c:pt idx="7">
                        <c:v>97</c:v>
                      </c:pt>
                      <c:pt idx="8">
                        <c:v>122</c:v>
                      </c:pt>
                      <c:pt idx="9">
                        <c:v>137</c:v>
                      </c:pt>
                      <c:pt idx="10">
                        <c:v>147</c:v>
                      </c:pt>
                      <c:pt idx="11">
                        <c:v>161</c:v>
                      </c:pt>
                      <c:pt idx="12">
                        <c:v>181</c:v>
                      </c:pt>
                      <c:pt idx="13">
                        <c:v>201</c:v>
                      </c:pt>
                      <c:pt idx="14">
                        <c:v>221</c:v>
                      </c:pt>
                      <c:pt idx="15">
                        <c:v>241</c:v>
                      </c:pt>
                      <c:pt idx="16">
                        <c:v>266</c:v>
                      </c:pt>
                      <c:pt idx="17">
                        <c:v>289</c:v>
                      </c:pt>
                      <c:pt idx="18">
                        <c:v>320</c:v>
                      </c:pt>
                      <c:pt idx="19">
                        <c:v>320</c:v>
                      </c:pt>
                      <c:pt idx="20">
                        <c:v>320</c:v>
                      </c:pt>
                      <c:pt idx="21">
                        <c:v>320</c:v>
                      </c:pt>
                      <c:pt idx="22">
                        <c:v>320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55BE-4A5E-9BC6-EAD1836F3672}"/>
                  </c:ext>
                </c:extLst>
              </c15:ser>
            </c15:filteredLineSeries>
            <c15:filteredLineSeries>
              <c15:ser>
                <c:idx val="1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'Performance Proj'!$E$1</c15:sqref>
                        </c15:formulaRef>
                      </c:ext>
                    </c:extLst>
                    <c:strCache>
                      <c:ptCount val="1"/>
                      <c:pt idx="0">
                        <c:v>Total Housing Units 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'Performance Proj'!$A$2:$A$24</c15:sqref>
                        </c15:formulaRef>
                      </c:ext>
                    </c:extLst>
                    <c:numCache>
                      <c:formatCode>m/d/yyyy</c:formatCode>
                      <c:ptCount val="23"/>
                      <c:pt idx="0">
                        <c:v>42644</c:v>
                      </c:pt>
                      <c:pt idx="1">
                        <c:v>42736</c:v>
                      </c:pt>
                      <c:pt idx="2">
                        <c:v>42826</c:v>
                      </c:pt>
                      <c:pt idx="3">
                        <c:v>42917</c:v>
                      </c:pt>
                      <c:pt idx="4">
                        <c:v>43009</c:v>
                      </c:pt>
                      <c:pt idx="5">
                        <c:v>43101</c:v>
                      </c:pt>
                      <c:pt idx="6">
                        <c:v>43191</c:v>
                      </c:pt>
                      <c:pt idx="7">
                        <c:v>43282</c:v>
                      </c:pt>
                      <c:pt idx="8">
                        <c:v>43374</c:v>
                      </c:pt>
                      <c:pt idx="9">
                        <c:v>43466</c:v>
                      </c:pt>
                      <c:pt idx="10">
                        <c:v>43556</c:v>
                      </c:pt>
                      <c:pt idx="11">
                        <c:v>43647</c:v>
                      </c:pt>
                      <c:pt idx="12">
                        <c:v>43739</c:v>
                      </c:pt>
                      <c:pt idx="13">
                        <c:v>43831</c:v>
                      </c:pt>
                      <c:pt idx="14">
                        <c:v>43922</c:v>
                      </c:pt>
                      <c:pt idx="15">
                        <c:v>44013</c:v>
                      </c:pt>
                      <c:pt idx="16">
                        <c:v>44105</c:v>
                      </c:pt>
                      <c:pt idx="17">
                        <c:v>44197</c:v>
                      </c:pt>
                      <c:pt idx="18">
                        <c:v>44287</c:v>
                      </c:pt>
                      <c:pt idx="19">
                        <c:v>44378</c:v>
                      </c:pt>
                      <c:pt idx="20">
                        <c:v>44470</c:v>
                      </c:pt>
                      <c:pt idx="21">
                        <c:v>44562</c:v>
                      </c:pt>
                      <c:pt idx="22">
                        <c:v>44652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'Performance Proj'!$E$2:$E$24</c15:sqref>
                        </c15:formulaRef>
                      </c:ext>
                    </c:extLst>
                    <c:numCache>
                      <c:formatCode>0</c:formatCode>
                      <c:ptCount val="2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5</c:v>
                      </c:pt>
                      <c:pt idx="5">
                        <c:v>15</c:v>
                      </c:pt>
                      <c:pt idx="6">
                        <c:v>34</c:v>
                      </c:pt>
                      <c:pt idx="7">
                        <c:v>43</c:v>
                      </c:pt>
                      <c:pt idx="8">
                        <c:v>54</c:v>
                      </c:pt>
                      <c:pt idx="9">
                        <c:v>60</c:v>
                      </c:pt>
                      <c:pt idx="10">
                        <c:v>68</c:v>
                      </c:pt>
                      <c:pt idx="11">
                        <c:v>119</c:v>
                      </c:pt>
                      <c:pt idx="12">
                        <c:v>197</c:v>
                      </c:pt>
                      <c:pt idx="13">
                        <c:v>199</c:v>
                      </c:pt>
                      <c:pt idx="14">
                        <c:v>215</c:v>
                      </c:pt>
                      <c:pt idx="15">
                        <c:v>225</c:v>
                      </c:pt>
                      <c:pt idx="16">
                        <c:v>236</c:v>
                      </c:pt>
                      <c:pt idx="17">
                        <c:v>244</c:v>
                      </c:pt>
                      <c:pt idx="18">
                        <c:v>250</c:v>
                      </c:pt>
                      <c:pt idx="19">
                        <c:v>264</c:v>
                      </c:pt>
                      <c:pt idx="20">
                        <c:v>272</c:v>
                      </c:pt>
                      <c:pt idx="21">
                        <c:v>275</c:v>
                      </c:pt>
                      <c:pt idx="22">
                        <c:v>311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55BE-4A5E-9BC6-EAD1836F3672}"/>
                  </c:ext>
                </c:extLst>
              </c15:ser>
            </c15:filteredLineSeries>
          </c:ext>
        </c:extLst>
      </c:lineChart>
      <c:dateAx>
        <c:axId val="139590516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5908912"/>
        <c:crosses val="autoZero"/>
        <c:auto val="1"/>
        <c:lblOffset val="100"/>
        <c:baseTimeUnit val="months"/>
      </c:dateAx>
      <c:valAx>
        <c:axId val="1395908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5905168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IOWA NDR PROGRAM </a:t>
            </a:r>
            <a:endParaRPr lang="en-US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Planning Deliverables Accomplishments</a:t>
            </a:r>
            <a:endParaRPr lang="en-US">
              <a:effectLst/>
            </a:endParaRPr>
          </a:p>
        </c:rich>
      </c:tx>
      <c:layout>
        <c:manualLayout>
          <c:xMode val="edge"/>
          <c:yMode val="edge"/>
          <c:x val="0.38083408340834085"/>
          <c:y val="6.5762424696845581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1372595846917501E-2"/>
          <c:y val="0.14557375378870632"/>
          <c:w val="0.93557202278949847"/>
          <c:h val="0.60862319652072383"/>
        </c:manualLayout>
      </c:layout>
      <c:lineChart>
        <c:grouping val="standard"/>
        <c:varyColors val="0"/>
        <c:ser>
          <c:idx val="4"/>
          <c:order val="0"/>
          <c:tx>
            <c:strRef>
              <c:f>'Performance Proj'!$C$79</c:f>
              <c:strCache>
                <c:ptCount val="1"/>
                <c:pt idx="0">
                  <c:v>Total Projection of Plans or Planning Products</c:v>
                </c:pt>
              </c:strCache>
            </c:strRef>
          </c:tx>
          <c:marker>
            <c:symbol val="none"/>
          </c:marker>
          <c:cat>
            <c:numRef>
              <c:f>'Performance Proj'!$A$80:$A$105</c:f>
              <c:numCache>
                <c:formatCode>m/d/yyyy</c:formatCode>
                <c:ptCount val="26"/>
                <c:pt idx="0">
                  <c:v>42644</c:v>
                </c:pt>
                <c:pt idx="1">
                  <c:v>42736</c:v>
                </c:pt>
                <c:pt idx="2">
                  <c:v>42826</c:v>
                </c:pt>
                <c:pt idx="3">
                  <c:v>42917</c:v>
                </c:pt>
                <c:pt idx="4">
                  <c:v>43009</c:v>
                </c:pt>
                <c:pt idx="5">
                  <c:v>43101</c:v>
                </c:pt>
                <c:pt idx="6">
                  <c:v>43191</c:v>
                </c:pt>
                <c:pt idx="7">
                  <c:v>43282</c:v>
                </c:pt>
                <c:pt idx="8">
                  <c:v>43374</c:v>
                </c:pt>
                <c:pt idx="9">
                  <c:v>43466</c:v>
                </c:pt>
                <c:pt idx="10">
                  <c:v>43556</c:v>
                </c:pt>
                <c:pt idx="11">
                  <c:v>43647</c:v>
                </c:pt>
                <c:pt idx="12">
                  <c:v>43739</c:v>
                </c:pt>
                <c:pt idx="13">
                  <c:v>43831</c:v>
                </c:pt>
                <c:pt idx="14">
                  <c:v>43922</c:v>
                </c:pt>
                <c:pt idx="15">
                  <c:v>44013</c:v>
                </c:pt>
                <c:pt idx="16">
                  <c:v>44105</c:v>
                </c:pt>
                <c:pt idx="17">
                  <c:v>44197</c:v>
                </c:pt>
                <c:pt idx="18">
                  <c:v>44287</c:v>
                </c:pt>
                <c:pt idx="19">
                  <c:v>44378</c:v>
                </c:pt>
                <c:pt idx="20">
                  <c:v>44470</c:v>
                </c:pt>
                <c:pt idx="21">
                  <c:v>44562</c:v>
                </c:pt>
                <c:pt idx="22">
                  <c:v>44652</c:v>
                </c:pt>
                <c:pt idx="23">
                  <c:v>44743</c:v>
                </c:pt>
                <c:pt idx="24">
                  <c:v>44835</c:v>
                </c:pt>
              </c:numCache>
            </c:numRef>
          </c:cat>
          <c:val>
            <c:numRef>
              <c:f>'Performance Proj'!$C$80:$C$105</c:f>
              <c:numCache>
                <c:formatCode>#,##0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7</c:v>
                </c:pt>
                <c:pt idx="14">
                  <c:v>9</c:v>
                </c:pt>
                <c:pt idx="15">
                  <c:v>9</c:v>
                </c:pt>
                <c:pt idx="16">
                  <c:v>9</c:v>
                </c:pt>
                <c:pt idx="17">
                  <c:v>209</c:v>
                </c:pt>
                <c:pt idx="18">
                  <c:v>224</c:v>
                </c:pt>
                <c:pt idx="19">
                  <c:v>231</c:v>
                </c:pt>
                <c:pt idx="20">
                  <c:v>239</c:v>
                </c:pt>
                <c:pt idx="21">
                  <c:v>239</c:v>
                </c:pt>
                <c:pt idx="22">
                  <c:v>239</c:v>
                </c:pt>
                <c:pt idx="23">
                  <c:v>239</c:v>
                </c:pt>
                <c:pt idx="24">
                  <c:v>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8FE-43BF-A1AE-893FF522C47F}"/>
            </c:ext>
          </c:extLst>
        </c:ser>
        <c:ser>
          <c:idx val="5"/>
          <c:order val="1"/>
          <c:tx>
            <c:strRef>
              <c:f>'Performance Proj'!$E$79</c:f>
              <c:strCache>
                <c:ptCount val="1"/>
                <c:pt idx="0">
                  <c:v>Total Plans or Planning Products</c:v>
                </c:pt>
              </c:strCache>
            </c:strRef>
          </c:tx>
          <c:marker>
            <c:symbol val="none"/>
          </c:marker>
          <c:cat>
            <c:numRef>
              <c:f>'Performance Proj'!$A$80:$A$105</c:f>
              <c:numCache>
                <c:formatCode>m/d/yyyy</c:formatCode>
                <c:ptCount val="26"/>
                <c:pt idx="0">
                  <c:v>42644</c:v>
                </c:pt>
                <c:pt idx="1">
                  <c:v>42736</c:v>
                </c:pt>
                <c:pt idx="2">
                  <c:v>42826</c:v>
                </c:pt>
                <c:pt idx="3">
                  <c:v>42917</c:v>
                </c:pt>
                <c:pt idx="4">
                  <c:v>43009</c:v>
                </c:pt>
                <c:pt idx="5">
                  <c:v>43101</c:v>
                </c:pt>
                <c:pt idx="6">
                  <c:v>43191</c:v>
                </c:pt>
                <c:pt idx="7">
                  <c:v>43282</c:v>
                </c:pt>
                <c:pt idx="8">
                  <c:v>43374</c:v>
                </c:pt>
                <c:pt idx="9">
                  <c:v>43466</c:v>
                </c:pt>
                <c:pt idx="10">
                  <c:v>43556</c:v>
                </c:pt>
                <c:pt idx="11">
                  <c:v>43647</c:v>
                </c:pt>
                <c:pt idx="12">
                  <c:v>43739</c:v>
                </c:pt>
                <c:pt idx="13">
                  <c:v>43831</c:v>
                </c:pt>
                <c:pt idx="14">
                  <c:v>43922</c:v>
                </c:pt>
                <c:pt idx="15">
                  <c:v>44013</c:v>
                </c:pt>
                <c:pt idx="16">
                  <c:v>44105</c:v>
                </c:pt>
                <c:pt idx="17">
                  <c:v>44197</c:v>
                </c:pt>
                <c:pt idx="18">
                  <c:v>44287</c:v>
                </c:pt>
                <c:pt idx="19">
                  <c:v>44378</c:v>
                </c:pt>
                <c:pt idx="20">
                  <c:v>44470</c:v>
                </c:pt>
                <c:pt idx="21">
                  <c:v>44562</c:v>
                </c:pt>
                <c:pt idx="22">
                  <c:v>44652</c:v>
                </c:pt>
                <c:pt idx="23">
                  <c:v>44743</c:v>
                </c:pt>
                <c:pt idx="24">
                  <c:v>44835</c:v>
                </c:pt>
              </c:numCache>
            </c:numRef>
          </c:cat>
          <c:val>
            <c:numRef>
              <c:f>'Performance Proj'!$E$80:$E$105</c:f>
              <c:numCache>
                <c:formatCode>0</c:formatCode>
                <c:ptCount val="26"/>
                <c:pt idx="0">
                  <c:v>7</c:v>
                </c:pt>
                <c:pt idx="1">
                  <c:v>16</c:v>
                </c:pt>
                <c:pt idx="2">
                  <c:v>27</c:v>
                </c:pt>
                <c:pt idx="3">
                  <c:v>37</c:v>
                </c:pt>
                <c:pt idx="4">
                  <c:v>43</c:v>
                </c:pt>
                <c:pt idx="5">
                  <c:v>55</c:v>
                </c:pt>
                <c:pt idx="6">
                  <c:v>60</c:v>
                </c:pt>
                <c:pt idx="7">
                  <c:v>82</c:v>
                </c:pt>
                <c:pt idx="8">
                  <c:v>123</c:v>
                </c:pt>
                <c:pt idx="9">
                  <c:v>130</c:v>
                </c:pt>
                <c:pt idx="10">
                  <c:v>145</c:v>
                </c:pt>
                <c:pt idx="11">
                  <c:v>153</c:v>
                </c:pt>
                <c:pt idx="12">
                  <c:v>162</c:v>
                </c:pt>
                <c:pt idx="13">
                  <c:v>169</c:v>
                </c:pt>
                <c:pt idx="14">
                  <c:v>184</c:v>
                </c:pt>
                <c:pt idx="15">
                  <c:v>189</c:v>
                </c:pt>
                <c:pt idx="16">
                  <c:v>205</c:v>
                </c:pt>
                <c:pt idx="17">
                  <c:v>211</c:v>
                </c:pt>
                <c:pt idx="18">
                  <c:v>226</c:v>
                </c:pt>
                <c:pt idx="19">
                  <c:v>280</c:v>
                </c:pt>
                <c:pt idx="20">
                  <c:v>289</c:v>
                </c:pt>
                <c:pt idx="21">
                  <c:v>289</c:v>
                </c:pt>
                <c:pt idx="22">
                  <c:v>289</c:v>
                </c:pt>
                <c:pt idx="23">
                  <c:v>308</c:v>
                </c:pt>
                <c:pt idx="24">
                  <c:v>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8FE-43BF-A1AE-893FF522C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95905168"/>
        <c:axId val="1395908912"/>
        <c:extLst>
          <c:ext xmlns:c15="http://schemas.microsoft.com/office/drawing/2012/chart" uri="{02D57815-91ED-43cb-92C2-25804820EDAC}">
            <c15:filteredLine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'Performance Proj'!$C$28</c15:sqref>
                        </c15:formulaRef>
                      </c:ext>
                    </c:extLst>
                    <c:strCache>
                      <c:ptCount val="1"/>
                      <c:pt idx="0">
                        <c:v>Total Projection of Watershed Practices &amp; Public Facilities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'Performance Proj'!$A$29:$A$54</c15:sqref>
                        </c15:formulaRef>
                      </c:ext>
                    </c:extLst>
                    <c:numCache>
                      <c:formatCode>m/d/yyyy</c:formatCode>
                      <c:ptCount val="26"/>
                      <c:pt idx="0">
                        <c:v>42644</c:v>
                      </c:pt>
                      <c:pt idx="1">
                        <c:v>42736</c:v>
                      </c:pt>
                      <c:pt idx="2">
                        <c:v>42826</c:v>
                      </c:pt>
                      <c:pt idx="3">
                        <c:v>42917</c:v>
                      </c:pt>
                      <c:pt idx="4">
                        <c:v>43009</c:v>
                      </c:pt>
                      <c:pt idx="5">
                        <c:v>43101</c:v>
                      </c:pt>
                      <c:pt idx="6">
                        <c:v>43191</c:v>
                      </c:pt>
                      <c:pt idx="7">
                        <c:v>43282</c:v>
                      </c:pt>
                      <c:pt idx="8">
                        <c:v>43374</c:v>
                      </c:pt>
                      <c:pt idx="9">
                        <c:v>43466</c:v>
                      </c:pt>
                      <c:pt idx="10">
                        <c:v>43556</c:v>
                      </c:pt>
                      <c:pt idx="11">
                        <c:v>43647</c:v>
                      </c:pt>
                      <c:pt idx="12">
                        <c:v>43739</c:v>
                      </c:pt>
                      <c:pt idx="13">
                        <c:v>43831</c:v>
                      </c:pt>
                      <c:pt idx="14">
                        <c:v>43922</c:v>
                      </c:pt>
                      <c:pt idx="15">
                        <c:v>44013</c:v>
                      </c:pt>
                      <c:pt idx="16">
                        <c:v>44105</c:v>
                      </c:pt>
                      <c:pt idx="17">
                        <c:v>44197</c:v>
                      </c:pt>
                      <c:pt idx="18">
                        <c:v>44287</c:v>
                      </c:pt>
                      <c:pt idx="19">
                        <c:v>44378</c:v>
                      </c:pt>
                      <c:pt idx="20">
                        <c:v>44470</c:v>
                      </c:pt>
                      <c:pt idx="21">
                        <c:v>44562</c:v>
                      </c:pt>
                      <c:pt idx="22">
                        <c:v>44652</c:v>
                      </c:pt>
                      <c:pt idx="23">
                        <c:v>44743</c:v>
                      </c:pt>
                      <c:pt idx="24">
                        <c:v>44835</c:v>
                      </c:pt>
                      <c:pt idx="25">
                        <c:v>44927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'Performance Proj'!$C$29:$C$54</c15:sqref>
                        </c15:formulaRef>
                      </c:ext>
                    </c:extLst>
                    <c:numCache>
                      <c:formatCode>#,##0</c:formatCode>
                      <c:ptCount val="2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33.449567099567105</c:v>
                      </c:pt>
                      <c:pt idx="4">
                        <c:v>66.89913419913421</c:v>
                      </c:pt>
                      <c:pt idx="5">
                        <c:v>100.34870129870131</c:v>
                      </c:pt>
                      <c:pt idx="6">
                        <c:v>133.79826839826842</c:v>
                      </c:pt>
                      <c:pt idx="7">
                        <c:v>167.24783549783552</c:v>
                      </c:pt>
                      <c:pt idx="8">
                        <c:v>200.69740259740263</c:v>
                      </c:pt>
                      <c:pt idx="9">
                        <c:v>234.14696969696973</c:v>
                      </c:pt>
                      <c:pt idx="10">
                        <c:v>267.59653679653684</c:v>
                      </c:pt>
                      <c:pt idx="11">
                        <c:v>301.04610389610394</c:v>
                      </c:pt>
                      <c:pt idx="12">
                        <c:v>334.49567099567105</c:v>
                      </c:pt>
                      <c:pt idx="13">
                        <c:v>367.94523809523815</c:v>
                      </c:pt>
                      <c:pt idx="14">
                        <c:v>401.39480519480526</c:v>
                      </c:pt>
                      <c:pt idx="15">
                        <c:v>434.84437229437236</c:v>
                      </c:pt>
                      <c:pt idx="16">
                        <c:v>468.29393939393947</c:v>
                      </c:pt>
                      <c:pt idx="17">
                        <c:v>501.74350649350657</c:v>
                      </c:pt>
                      <c:pt idx="18">
                        <c:v>535.19307359307368</c:v>
                      </c:pt>
                      <c:pt idx="19">
                        <c:v>570.64264069264073</c:v>
                      </c:pt>
                      <c:pt idx="20">
                        <c:v>604.09220779220777</c:v>
                      </c:pt>
                      <c:pt idx="21">
                        <c:v>637.54177489177482</c:v>
                      </c:pt>
                      <c:pt idx="22">
                        <c:v>673.99134199134187</c:v>
                      </c:pt>
                      <c:pt idx="23">
                        <c:v>694.09090909090901</c:v>
                      </c:pt>
                      <c:pt idx="24">
                        <c:v>707.99999999999989</c:v>
                      </c:pt>
                      <c:pt idx="25">
                        <c:v>707.99999999999989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B8FE-43BF-A1AE-893FF522C47F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'Performance Proj'!$E$28</c15:sqref>
                        </c15:formulaRef>
                      </c:ext>
                    </c:extLst>
                    <c:strCache>
                      <c:ptCount val="1"/>
                      <c:pt idx="0">
                        <c:v>Total Watersheds Practices &amp; Public Facilities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'Performance Proj'!$A$29:$A$54</c15:sqref>
                        </c15:formulaRef>
                      </c:ext>
                    </c:extLst>
                    <c:numCache>
                      <c:formatCode>m/d/yyyy</c:formatCode>
                      <c:ptCount val="26"/>
                      <c:pt idx="0">
                        <c:v>42644</c:v>
                      </c:pt>
                      <c:pt idx="1">
                        <c:v>42736</c:v>
                      </c:pt>
                      <c:pt idx="2">
                        <c:v>42826</c:v>
                      </c:pt>
                      <c:pt idx="3">
                        <c:v>42917</c:v>
                      </c:pt>
                      <c:pt idx="4">
                        <c:v>43009</c:v>
                      </c:pt>
                      <c:pt idx="5">
                        <c:v>43101</c:v>
                      </c:pt>
                      <c:pt idx="6">
                        <c:v>43191</c:v>
                      </c:pt>
                      <c:pt idx="7">
                        <c:v>43282</c:v>
                      </c:pt>
                      <c:pt idx="8">
                        <c:v>43374</c:v>
                      </c:pt>
                      <c:pt idx="9">
                        <c:v>43466</c:v>
                      </c:pt>
                      <c:pt idx="10">
                        <c:v>43556</c:v>
                      </c:pt>
                      <c:pt idx="11">
                        <c:v>43647</c:v>
                      </c:pt>
                      <c:pt idx="12">
                        <c:v>43739</c:v>
                      </c:pt>
                      <c:pt idx="13">
                        <c:v>43831</c:v>
                      </c:pt>
                      <c:pt idx="14">
                        <c:v>43922</c:v>
                      </c:pt>
                      <c:pt idx="15">
                        <c:v>44013</c:v>
                      </c:pt>
                      <c:pt idx="16">
                        <c:v>44105</c:v>
                      </c:pt>
                      <c:pt idx="17">
                        <c:v>44197</c:v>
                      </c:pt>
                      <c:pt idx="18">
                        <c:v>44287</c:v>
                      </c:pt>
                      <c:pt idx="19">
                        <c:v>44378</c:v>
                      </c:pt>
                      <c:pt idx="20">
                        <c:v>44470</c:v>
                      </c:pt>
                      <c:pt idx="21">
                        <c:v>44562</c:v>
                      </c:pt>
                      <c:pt idx="22">
                        <c:v>44652</c:v>
                      </c:pt>
                      <c:pt idx="23">
                        <c:v>44743</c:v>
                      </c:pt>
                      <c:pt idx="24">
                        <c:v>44835</c:v>
                      </c:pt>
                      <c:pt idx="25">
                        <c:v>44927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'Performance Proj'!$E$29:$E$54</c15:sqref>
                        </c15:formulaRef>
                      </c:ext>
                    </c:extLst>
                    <c:numCache>
                      <c:formatCode>0</c:formatCode>
                      <c:ptCount val="2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2</c:v>
                      </c:pt>
                      <c:pt idx="7">
                        <c:v>2</c:v>
                      </c:pt>
                      <c:pt idx="8">
                        <c:v>2</c:v>
                      </c:pt>
                      <c:pt idx="9">
                        <c:v>2</c:v>
                      </c:pt>
                      <c:pt idx="10">
                        <c:v>2</c:v>
                      </c:pt>
                      <c:pt idx="11">
                        <c:v>2</c:v>
                      </c:pt>
                      <c:pt idx="12">
                        <c:v>52</c:v>
                      </c:pt>
                      <c:pt idx="13">
                        <c:v>52</c:v>
                      </c:pt>
                      <c:pt idx="14">
                        <c:v>127</c:v>
                      </c:pt>
                      <c:pt idx="15">
                        <c:v>202</c:v>
                      </c:pt>
                      <c:pt idx="16">
                        <c:v>214</c:v>
                      </c:pt>
                      <c:pt idx="17">
                        <c:v>222</c:v>
                      </c:pt>
                      <c:pt idx="18">
                        <c:v>248</c:v>
                      </c:pt>
                      <c:pt idx="19">
                        <c:v>325</c:v>
                      </c:pt>
                      <c:pt idx="20">
                        <c:v>406</c:v>
                      </c:pt>
                      <c:pt idx="21">
                        <c:v>529</c:v>
                      </c:pt>
                      <c:pt idx="22">
                        <c:v>684</c:v>
                      </c:pt>
                      <c:pt idx="23">
                        <c:v>687</c:v>
                      </c:pt>
                      <c:pt idx="24">
                        <c:v>687</c:v>
                      </c:pt>
                      <c:pt idx="25">
                        <c:v>687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8FE-43BF-A1AE-893FF522C47F}"/>
                  </c:ext>
                </c:extLst>
              </c15:ser>
            </c15:filteredLineSeries>
            <c15:filteredLineSeries>
              <c15:ser>
                <c:idx val="0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'Performance Proj'!$C$1</c15:sqref>
                        </c15:formulaRef>
                      </c:ext>
                    </c:extLst>
                    <c:strCache>
                      <c:ptCount val="1"/>
                      <c:pt idx="0">
                        <c:v>Total Projection of Housing Units 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'Performance Proj'!$A$2:$A$24</c15:sqref>
                        </c15:formulaRef>
                      </c:ext>
                    </c:extLst>
                    <c:numCache>
                      <c:formatCode>m/d/yyyy</c:formatCode>
                      <c:ptCount val="23"/>
                      <c:pt idx="0">
                        <c:v>42644</c:v>
                      </c:pt>
                      <c:pt idx="1">
                        <c:v>42736</c:v>
                      </c:pt>
                      <c:pt idx="2">
                        <c:v>42826</c:v>
                      </c:pt>
                      <c:pt idx="3">
                        <c:v>42917</c:v>
                      </c:pt>
                      <c:pt idx="4">
                        <c:v>43009</c:v>
                      </c:pt>
                      <c:pt idx="5">
                        <c:v>43101</c:v>
                      </c:pt>
                      <c:pt idx="6">
                        <c:v>43191</c:v>
                      </c:pt>
                      <c:pt idx="7">
                        <c:v>43282</c:v>
                      </c:pt>
                      <c:pt idx="8">
                        <c:v>43374</c:v>
                      </c:pt>
                      <c:pt idx="9">
                        <c:v>43466</c:v>
                      </c:pt>
                      <c:pt idx="10">
                        <c:v>43556</c:v>
                      </c:pt>
                      <c:pt idx="11">
                        <c:v>43647</c:v>
                      </c:pt>
                      <c:pt idx="12">
                        <c:v>43739</c:v>
                      </c:pt>
                      <c:pt idx="13">
                        <c:v>43831</c:v>
                      </c:pt>
                      <c:pt idx="14">
                        <c:v>43922</c:v>
                      </c:pt>
                      <c:pt idx="15">
                        <c:v>44013</c:v>
                      </c:pt>
                      <c:pt idx="16">
                        <c:v>44105</c:v>
                      </c:pt>
                      <c:pt idx="17">
                        <c:v>44197</c:v>
                      </c:pt>
                      <c:pt idx="18">
                        <c:v>44287</c:v>
                      </c:pt>
                      <c:pt idx="19">
                        <c:v>44378</c:v>
                      </c:pt>
                      <c:pt idx="20">
                        <c:v>44470</c:v>
                      </c:pt>
                      <c:pt idx="21">
                        <c:v>44562</c:v>
                      </c:pt>
                      <c:pt idx="22">
                        <c:v>44652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'Performance Proj'!$C$2:$C$24</c15:sqref>
                        </c15:formulaRef>
                      </c:ext>
                    </c:extLst>
                    <c:numCache>
                      <c:formatCode>#,##0</c:formatCode>
                      <c:ptCount val="23"/>
                      <c:pt idx="0">
                        <c:v>0</c:v>
                      </c:pt>
                      <c:pt idx="1">
                        <c:v>1</c:v>
                      </c:pt>
                      <c:pt idx="2">
                        <c:v>7</c:v>
                      </c:pt>
                      <c:pt idx="3">
                        <c:v>27</c:v>
                      </c:pt>
                      <c:pt idx="4">
                        <c:v>52</c:v>
                      </c:pt>
                      <c:pt idx="5">
                        <c:v>67</c:v>
                      </c:pt>
                      <c:pt idx="6">
                        <c:v>77</c:v>
                      </c:pt>
                      <c:pt idx="7">
                        <c:v>97</c:v>
                      </c:pt>
                      <c:pt idx="8">
                        <c:v>122</c:v>
                      </c:pt>
                      <c:pt idx="9">
                        <c:v>137</c:v>
                      </c:pt>
                      <c:pt idx="10">
                        <c:v>147</c:v>
                      </c:pt>
                      <c:pt idx="11">
                        <c:v>161</c:v>
                      </c:pt>
                      <c:pt idx="12">
                        <c:v>181</c:v>
                      </c:pt>
                      <c:pt idx="13">
                        <c:v>201</c:v>
                      </c:pt>
                      <c:pt idx="14">
                        <c:v>221</c:v>
                      </c:pt>
                      <c:pt idx="15">
                        <c:v>241</c:v>
                      </c:pt>
                      <c:pt idx="16">
                        <c:v>266</c:v>
                      </c:pt>
                      <c:pt idx="17">
                        <c:v>289</c:v>
                      </c:pt>
                      <c:pt idx="18">
                        <c:v>320</c:v>
                      </c:pt>
                      <c:pt idx="19">
                        <c:v>320</c:v>
                      </c:pt>
                      <c:pt idx="20">
                        <c:v>320</c:v>
                      </c:pt>
                      <c:pt idx="21">
                        <c:v>320</c:v>
                      </c:pt>
                      <c:pt idx="22">
                        <c:v>320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B8FE-43BF-A1AE-893FF522C47F}"/>
                  </c:ext>
                </c:extLst>
              </c15:ser>
            </c15:filteredLineSeries>
            <c15:filteredLineSeries>
              <c15:ser>
                <c:idx val="1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'Performance Proj'!$E$1</c15:sqref>
                        </c15:formulaRef>
                      </c:ext>
                    </c:extLst>
                    <c:strCache>
                      <c:ptCount val="1"/>
                      <c:pt idx="0">
                        <c:v>Total Housing Units 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'Performance Proj'!$A$2:$A$24</c15:sqref>
                        </c15:formulaRef>
                      </c:ext>
                    </c:extLst>
                    <c:numCache>
                      <c:formatCode>m/d/yyyy</c:formatCode>
                      <c:ptCount val="23"/>
                      <c:pt idx="0">
                        <c:v>42644</c:v>
                      </c:pt>
                      <c:pt idx="1">
                        <c:v>42736</c:v>
                      </c:pt>
                      <c:pt idx="2">
                        <c:v>42826</c:v>
                      </c:pt>
                      <c:pt idx="3">
                        <c:v>42917</c:v>
                      </c:pt>
                      <c:pt idx="4">
                        <c:v>43009</c:v>
                      </c:pt>
                      <c:pt idx="5">
                        <c:v>43101</c:v>
                      </c:pt>
                      <c:pt idx="6">
                        <c:v>43191</c:v>
                      </c:pt>
                      <c:pt idx="7">
                        <c:v>43282</c:v>
                      </c:pt>
                      <c:pt idx="8">
                        <c:v>43374</c:v>
                      </c:pt>
                      <c:pt idx="9">
                        <c:v>43466</c:v>
                      </c:pt>
                      <c:pt idx="10">
                        <c:v>43556</c:v>
                      </c:pt>
                      <c:pt idx="11">
                        <c:v>43647</c:v>
                      </c:pt>
                      <c:pt idx="12">
                        <c:v>43739</c:v>
                      </c:pt>
                      <c:pt idx="13">
                        <c:v>43831</c:v>
                      </c:pt>
                      <c:pt idx="14">
                        <c:v>43922</c:v>
                      </c:pt>
                      <c:pt idx="15">
                        <c:v>44013</c:v>
                      </c:pt>
                      <c:pt idx="16">
                        <c:v>44105</c:v>
                      </c:pt>
                      <c:pt idx="17">
                        <c:v>44197</c:v>
                      </c:pt>
                      <c:pt idx="18">
                        <c:v>44287</c:v>
                      </c:pt>
                      <c:pt idx="19">
                        <c:v>44378</c:v>
                      </c:pt>
                      <c:pt idx="20">
                        <c:v>44470</c:v>
                      </c:pt>
                      <c:pt idx="21">
                        <c:v>44562</c:v>
                      </c:pt>
                      <c:pt idx="22">
                        <c:v>44652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'Performance Proj'!$E$2:$E$24</c15:sqref>
                        </c15:formulaRef>
                      </c:ext>
                    </c:extLst>
                    <c:numCache>
                      <c:formatCode>0</c:formatCode>
                      <c:ptCount val="2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5</c:v>
                      </c:pt>
                      <c:pt idx="5">
                        <c:v>15</c:v>
                      </c:pt>
                      <c:pt idx="6">
                        <c:v>34</c:v>
                      </c:pt>
                      <c:pt idx="7">
                        <c:v>43</c:v>
                      </c:pt>
                      <c:pt idx="8">
                        <c:v>54</c:v>
                      </c:pt>
                      <c:pt idx="9">
                        <c:v>60</c:v>
                      </c:pt>
                      <c:pt idx="10">
                        <c:v>68</c:v>
                      </c:pt>
                      <c:pt idx="11">
                        <c:v>119</c:v>
                      </c:pt>
                      <c:pt idx="12">
                        <c:v>197</c:v>
                      </c:pt>
                      <c:pt idx="13">
                        <c:v>199</c:v>
                      </c:pt>
                      <c:pt idx="14">
                        <c:v>215</c:v>
                      </c:pt>
                      <c:pt idx="15">
                        <c:v>225</c:v>
                      </c:pt>
                      <c:pt idx="16">
                        <c:v>236</c:v>
                      </c:pt>
                      <c:pt idx="17">
                        <c:v>244</c:v>
                      </c:pt>
                      <c:pt idx="18">
                        <c:v>250</c:v>
                      </c:pt>
                      <c:pt idx="19">
                        <c:v>264</c:v>
                      </c:pt>
                      <c:pt idx="20">
                        <c:v>272</c:v>
                      </c:pt>
                      <c:pt idx="21">
                        <c:v>275</c:v>
                      </c:pt>
                      <c:pt idx="22">
                        <c:v>311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B8FE-43BF-A1AE-893FF522C47F}"/>
                  </c:ext>
                </c:extLst>
              </c15:ser>
            </c15:filteredLineSeries>
          </c:ext>
        </c:extLst>
      </c:lineChart>
      <c:dateAx>
        <c:axId val="139590516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5908912"/>
        <c:crosses val="autoZero"/>
        <c:auto val="1"/>
        <c:lblOffset val="100"/>
        <c:baseTimeUnit val="months"/>
      </c:dateAx>
      <c:valAx>
        <c:axId val="1395908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5905168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IOWA NDR PROGRAM </a:t>
            </a:r>
            <a:endParaRPr lang="en-US">
              <a:effectLst/>
            </a:endParaRPr>
          </a:p>
          <a:p>
            <a:pPr>
              <a:defRPr/>
            </a:pPr>
            <a:r>
              <a:rPr lang="en-US" sz="1800" b="0" i="0" baseline="0">
                <a:effectLst/>
              </a:rPr>
              <a:t>Housing Expenditures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'Financial Proj'!$C$3</c:f>
              <c:strCache>
                <c:ptCount val="1"/>
                <c:pt idx="0">
                  <c:v>Projected Expenditures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'Financial Proj'!$A$4:$A$29</c:f>
              <c:numCache>
                <c:formatCode>m/d/yyyy</c:formatCode>
                <c:ptCount val="26"/>
                <c:pt idx="0">
                  <c:v>42644</c:v>
                </c:pt>
                <c:pt idx="1">
                  <c:v>42736</c:v>
                </c:pt>
                <c:pt idx="2">
                  <c:v>42826</c:v>
                </c:pt>
                <c:pt idx="3">
                  <c:v>42917</c:v>
                </c:pt>
                <c:pt idx="4">
                  <c:v>43009</c:v>
                </c:pt>
                <c:pt idx="5">
                  <c:v>43101</c:v>
                </c:pt>
                <c:pt idx="6">
                  <c:v>43191</c:v>
                </c:pt>
                <c:pt idx="7">
                  <c:v>43282</c:v>
                </c:pt>
                <c:pt idx="8">
                  <c:v>43374</c:v>
                </c:pt>
                <c:pt idx="9">
                  <c:v>43466</c:v>
                </c:pt>
                <c:pt idx="10">
                  <c:v>43556</c:v>
                </c:pt>
                <c:pt idx="11">
                  <c:v>43647</c:v>
                </c:pt>
                <c:pt idx="12">
                  <c:v>43739</c:v>
                </c:pt>
                <c:pt idx="13">
                  <c:v>43831</c:v>
                </c:pt>
                <c:pt idx="14">
                  <c:v>43922</c:v>
                </c:pt>
                <c:pt idx="15">
                  <c:v>44013</c:v>
                </c:pt>
                <c:pt idx="16">
                  <c:v>44105</c:v>
                </c:pt>
                <c:pt idx="17">
                  <c:v>44197</c:v>
                </c:pt>
                <c:pt idx="18">
                  <c:v>44287</c:v>
                </c:pt>
                <c:pt idx="19">
                  <c:v>44378</c:v>
                </c:pt>
                <c:pt idx="20">
                  <c:v>44470</c:v>
                </c:pt>
                <c:pt idx="21">
                  <c:v>44562</c:v>
                </c:pt>
                <c:pt idx="22">
                  <c:v>44652</c:v>
                </c:pt>
                <c:pt idx="23">
                  <c:v>44743</c:v>
                </c:pt>
                <c:pt idx="24">
                  <c:v>44835</c:v>
                </c:pt>
                <c:pt idx="25">
                  <c:v>44927</c:v>
                </c:pt>
              </c:numCache>
            </c:numRef>
          </c:cat>
          <c:val>
            <c:numRef>
              <c:f>'Financial Proj'!$C$4:$C$29</c:f>
              <c:numCache>
                <c:formatCode>"$"#,##0</c:formatCode>
                <c:ptCount val="26"/>
                <c:pt idx="0">
                  <c:v>353216.30434782617</c:v>
                </c:pt>
                <c:pt idx="1">
                  <c:v>706432.60869565234</c:v>
                </c:pt>
                <c:pt idx="2">
                  <c:v>1059648.9130434785</c:v>
                </c:pt>
                <c:pt idx="3">
                  <c:v>1412865.2173913047</c:v>
                </c:pt>
                <c:pt idx="4">
                  <c:v>1766081.5217391308</c:v>
                </c:pt>
                <c:pt idx="5">
                  <c:v>2119297.826086957</c:v>
                </c:pt>
                <c:pt idx="6">
                  <c:v>2472514.1304347832</c:v>
                </c:pt>
                <c:pt idx="7">
                  <c:v>2825730.4347826093</c:v>
                </c:pt>
                <c:pt idx="8">
                  <c:v>3178946.7391304355</c:v>
                </c:pt>
                <c:pt idx="9">
                  <c:v>3532163.0434782617</c:v>
                </c:pt>
                <c:pt idx="10">
                  <c:v>3885379.3478260878</c:v>
                </c:pt>
                <c:pt idx="11">
                  <c:v>4238595.652173914</c:v>
                </c:pt>
                <c:pt idx="12">
                  <c:v>4591811.9565217402</c:v>
                </c:pt>
                <c:pt idx="13">
                  <c:v>4945028.2608695664</c:v>
                </c:pt>
                <c:pt idx="14">
                  <c:v>5298244.5652173925</c:v>
                </c:pt>
                <c:pt idx="15">
                  <c:v>5651460.8695652187</c:v>
                </c:pt>
                <c:pt idx="16">
                  <c:v>6004677.1739130449</c:v>
                </c:pt>
                <c:pt idx="17">
                  <c:v>6357893.478260871</c:v>
                </c:pt>
                <c:pt idx="18">
                  <c:v>6711109.7826086972</c:v>
                </c:pt>
                <c:pt idx="19">
                  <c:v>7064326.0869565234</c:v>
                </c:pt>
                <c:pt idx="20">
                  <c:v>7417542.3913043495</c:v>
                </c:pt>
                <c:pt idx="21">
                  <c:v>7770758.6956521757</c:v>
                </c:pt>
                <c:pt idx="22">
                  <c:v>8123975.0000000019</c:v>
                </c:pt>
                <c:pt idx="23">
                  <c:v>8123975.0000000019</c:v>
                </c:pt>
                <c:pt idx="24">
                  <c:v>8123975.0000000019</c:v>
                </c:pt>
                <c:pt idx="25">
                  <c:v>8123975.0000000019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FF-4B5F-8254-A072169F374C}"/>
            </c:ext>
          </c:extLst>
        </c:ser>
        <c:ser>
          <c:idx val="1"/>
          <c:order val="1"/>
          <c:tx>
            <c:strRef>
              <c:f>'Financial Proj'!$E$3</c:f>
              <c:strCache>
                <c:ptCount val="1"/>
                <c:pt idx="0">
                  <c:v>Actual Expenditures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'Financial Proj'!$A$4:$A$29</c:f>
              <c:numCache>
                <c:formatCode>m/d/yyyy</c:formatCode>
                <c:ptCount val="26"/>
                <c:pt idx="0">
                  <c:v>42644</c:v>
                </c:pt>
                <c:pt idx="1">
                  <c:v>42736</c:v>
                </c:pt>
                <c:pt idx="2">
                  <c:v>42826</c:v>
                </c:pt>
                <c:pt idx="3">
                  <c:v>42917</c:v>
                </c:pt>
                <c:pt idx="4">
                  <c:v>43009</c:v>
                </c:pt>
                <c:pt idx="5">
                  <c:v>43101</c:v>
                </c:pt>
                <c:pt idx="6">
                  <c:v>43191</c:v>
                </c:pt>
                <c:pt idx="7">
                  <c:v>43282</c:v>
                </c:pt>
                <c:pt idx="8">
                  <c:v>43374</c:v>
                </c:pt>
                <c:pt idx="9">
                  <c:v>43466</c:v>
                </c:pt>
                <c:pt idx="10">
                  <c:v>43556</c:v>
                </c:pt>
                <c:pt idx="11">
                  <c:v>43647</c:v>
                </c:pt>
                <c:pt idx="12">
                  <c:v>43739</c:v>
                </c:pt>
                <c:pt idx="13">
                  <c:v>43831</c:v>
                </c:pt>
                <c:pt idx="14">
                  <c:v>43922</c:v>
                </c:pt>
                <c:pt idx="15">
                  <c:v>44013</c:v>
                </c:pt>
                <c:pt idx="16">
                  <c:v>44105</c:v>
                </c:pt>
                <c:pt idx="17">
                  <c:v>44197</c:v>
                </c:pt>
                <c:pt idx="18">
                  <c:v>44287</c:v>
                </c:pt>
                <c:pt idx="19">
                  <c:v>44378</c:v>
                </c:pt>
                <c:pt idx="20">
                  <c:v>44470</c:v>
                </c:pt>
                <c:pt idx="21">
                  <c:v>44562</c:v>
                </c:pt>
                <c:pt idx="22">
                  <c:v>44652</c:v>
                </c:pt>
                <c:pt idx="23">
                  <c:v>44743</c:v>
                </c:pt>
                <c:pt idx="24">
                  <c:v>44835</c:v>
                </c:pt>
                <c:pt idx="25">
                  <c:v>44927</c:v>
                </c:pt>
              </c:numCache>
            </c:numRef>
          </c:cat>
          <c:val>
            <c:numRef>
              <c:f>'Financial Proj'!$E$4:$E$29</c:f>
              <c:numCache>
                <c:formatCode>"$"#,##0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239506</c:v>
                </c:pt>
                <c:pt idx="7">
                  <c:v>404650</c:v>
                </c:pt>
                <c:pt idx="8">
                  <c:v>1025864</c:v>
                </c:pt>
                <c:pt idx="9">
                  <c:v>1025864</c:v>
                </c:pt>
                <c:pt idx="10">
                  <c:v>1733317</c:v>
                </c:pt>
                <c:pt idx="11">
                  <c:v>2193650</c:v>
                </c:pt>
                <c:pt idx="12">
                  <c:v>3441252</c:v>
                </c:pt>
                <c:pt idx="13">
                  <c:v>4105240</c:v>
                </c:pt>
                <c:pt idx="14">
                  <c:v>4612889</c:v>
                </c:pt>
                <c:pt idx="15">
                  <c:v>4612889</c:v>
                </c:pt>
                <c:pt idx="16">
                  <c:v>5163561</c:v>
                </c:pt>
                <c:pt idx="17">
                  <c:v>5616598</c:v>
                </c:pt>
                <c:pt idx="18">
                  <c:v>5843367</c:v>
                </c:pt>
                <c:pt idx="19">
                  <c:v>6742955</c:v>
                </c:pt>
                <c:pt idx="20">
                  <c:v>6742955</c:v>
                </c:pt>
                <c:pt idx="21">
                  <c:v>7328798</c:v>
                </c:pt>
                <c:pt idx="22">
                  <c:v>7486730</c:v>
                </c:pt>
                <c:pt idx="23">
                  <c:v>8123975</c:v>
                </c:pt>
                <c:pt idx="24">
                  <c:v>8123975</c:v>
                </c:pt>
                <c:pt idx="25">
                  <c:v>8123975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FF-4B5F-8254-A072169F3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44517056"/>
        <c:axId val="1544530368"/>
      </c:lineChart>
      <c:dateAx>
        <c:axId val="154451705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4530368"/>
        <c:crosses val="autoZero"/>
        <c:auto val="1"/>
        <c:lblOffset val="100"/>
        <c:baseTimeUnit val="months"/>
      </c:dateAx>
      <c:valAx>
        <c:axId val="1544530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4517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IOWA NDR PROGRAM </a:t>
            </a:r>
            <a:endParaRPr lang="en-US">
              <a:effectLst/>
            </a:endParaRPr>
          </a:p>
          <a:p>
            <a:pPr>
              <a:defRPr/>
            </a:pPr>
            <a:r>
              <a:rPr lang="en-US" sz="1800" b="0" i="0" baseline="0">
                <a:effectLst/>
              </a:rPr>
              <a:t>Non-Housing Assistance Expenditures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'Financial Proj'!$C$31</c:f>
              <c:strCache>
                <c:ptCount val="1"/>
                <c:pt idx="0">
                  <c:v>Projected Expenditures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'Financial Proj'!$A$32:$A$57</c:f>
              <c:numCache>
                <c:formatCode>m/d/yyyy</c:formatCode>
                <c:ptCount val="26"/>
                <c:pt idx="0">
                  <c:v>42644</c:v>
                </c:pt>
                <c:pt idx="1">
                  <c:v>42736</c:v>
                </c:pt>
                <c:pt idx="2">
                  <c:v>42826</c:v>
                </c:pt>
                <c:pt idx="3">
                  <c:v>42917</c:v>
                </c:pt>
                <c:pt idx="4">
                  <c:v>43009</c:v>
                </c:pt>
                <c:pt idx="5">
                  <c:v>43101</c:v>
                </c:pt>
                <c:pt idx="6">
                  <c:v>43191</c:v>
                </c:pt>
                <c:pt idx="7">
                  <c:v>43282</c:v>
                </c:pt>
                <c:pt idx="8">
                  <c:v>43374</c:v>
                </c:pt>
                <c:pt idx="9">
                  <c:v>43466</c:v>
                </c:pt>
                <c:pt idx="10">
                  <c:v>43556</c:v>
                </c:pt>
                <c:pt idx="11">
                  <c:v>43647</c:v>
                </c:pt>
                <c:pt idx="12">
                  <c:v>43739</c:v>
                </c:pt>
                <c:pt idx="13">
                  <c:v>43831</c:v>
                </c:pt>
                <c:pt idx="14">
                  <c:v>43922</c:v>
                </c:pt>
                <c:pt idx="15">
                  <c:v>44013</c:v>
                </c:pt>
                <c:pt idx="16">
                  <c:v>44105</c:v>
                </c:pt>
                <c:pt idx="17">
                  <c:v>44197</c:v>
                </c:pt>
                <c:pt idx="18">
                  <c:v>44287</c:v>
                </c:pt>
                <c:pt idx="19">
                  <c:v>44378</c:v>
                </c:pt>
                <c:pt idx="20">
                  <c:v>44470</c:v>
                </c:pt>
                <c:pt idx="21">
                  <c:v>44562</c:v>
                </c:pt>
                <c:pt idx="22">
                  <c:v>44652</c:v>
                </c:pt>
                <c:pt idx="23">
                  <c:v>44743</c:v>
                </c:pt>
                <c:pt idx="24">
                  <c:v>44835</c:v>
                </c:pt>
                <c:pt idx="25">
                  <c:v>44927</c:v>
                </c:pt>
              </c:numCache>
            </c:numRef>
          </c:cat>
          <c:val>
            <c:numRef>
              <c:f>'Financial Proj'!$C$32:$C$57</c:f>
              <c:numCache>
                <c:formatCode>"$"#,##0</c:formatCode>
                <c:ptCount val="26"/>
                <c:pt idx="0">
                  <c:v>2977730.444202899</c:v>
                </c:pt>
                <c:pt idx="1">
                  <c:v>5955460.888405798</c:v>
                </c:pt>
                <c:pt idx="2">
                  <c:v>8933191.3326086961</c:v>
                </c:pt>
                <c:pt idx="3">
                  <c:v>11910921.776811596</c:v>
                </c:pt>
                <c:pt idx="4">
                  <c:v>14888652.221014496</c:v>
                </c:pt>
                <c:pt idx="5">
                  <c:v>17866382.665217396</c:v>
                </c:pt>
                <c:pt idx="6">
                  <c:v>20844113.109420296</c:v>
                </c:pt>
                <c:pt idx="7">
                  <c:v>23821843.553623196</c:v>
                </c:pt>
                <c:pt idx="8">
                  <c:v>26799573.997826096</c:v>
                </c:pt>
                <c:pt idx="9">
                  <c:v>29777304.442028996</c:v>
                </c:pt>
                <c:pt idx="10">
                  <c:v>32755034.886231896</c:v>
                </c:pt>
                <c:pt idx="11">
                  <c:v>35732765.330434792</c:v>
                </c:pt>
                <c:pt idx="12">
                  <c:v>38710495.774637692</c:v>
                </c:pt>
                <c:pt idx="13">
                  <c:v>41688226.218840592</c:v>
                </c:pt>
                <c:pt idx="14">
                  <c:v>44665956.663043492</c:v>
                </c:pt>
                <c:pt idx="15">
                  <c:v>47643687.107246391</c:v>
                </c:pt>
                <c:pt idx="16">
                  <c:v>50621417.551449291</c:v>
                </c:pt>
                <c:pt idx="17">
                  <c:v>53599147.995652191</c:v>
                </c:pt>
                <c:pt idx="18">
                  <c:v>56576878.439855091</c:v>
                </c:pt>
                <c:pt idx="19">
                  <c:v>59554608.884057991</c:v>
                </c:pt>
                <c:pt idx="20">
                  <c:v>62440599.328260891</c:v>
                </c:pt>
                <c:pt idx="21">
                  <c:v>65326589.772463791</c:v>
                </c:pt>
                <c:pt idx="22">
                  <c:v>68212580.216666684</c:v>
                </c:pt>
                <c:pt idx="23">
                  <c:v>69683826.400000021</c:v>
                </c:pt>
                <c:pt idx="24">
                  <c:v>70301338.000000015</c:v>
                </c:pt>
                <c:pt idx="25">
                  <c:v>70301338.000000015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1F-4252-B704-FF2CFB470DB2}"/>
            </c:ext>
          </c:extLst>
        </c:ser>
        <c:ser>
          <c:idx val="1"/>
          <c:order val="1"/>
          <c:tx>
            <c:strRef>
              <c:f>'Financial Proj'!$E$31</c:f>
              <c:strCache>
                <c:ptCount val="1"/>
                <c:pt idx="0">
                  <c:v>Actual Expenditures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'Financial Proj'!$A$32:$A$57</c:f>
              <c:numCache>
                <c:formatCode>m/d/yyyy</c:formatCode>
                <c:ptCount val="26"/>
                <c:pt idx="0">
                  <c:v>42644</c:v>
                </c:pt>
                <c:pt idx="1">
                  <c:v>42736</c:v>
                </c:pt>
                <c:pt idx="2">
                  <c:v>42826</c:v>
                </c:pt>
                <c:pt idx="3">
                  <c:v>42917</c:v>
                </c:pt>
                <c:pt idx="4">
                  <c:v>43009</c:v>
                </c:pt>
                <c:pt idx="5">
                  <c:v>43101</c:v>
                </c:pt>
                <c:pt idx="6">
                  <c:v>43191</c:v>
                </c:pt>
                <c:pt idx="7">
                  <c:v>43282</c:v>
                </c:pt>
                <c:pt idx="8">
                  <c:v>43374</c:v>
                </c:pt>
                <c:pt idx="9">
                  <c:v>43466</c:v>
                </c:pt>
                <c:pt idx="10">
                  <c:v>43556</c:v>
                </c:pt>
                <c:pt idx="11">
                  <c:v>43647</c:v>
                </c:pt>
                <c:pt idx="12">
                  <c:v>43739</c:v>
                </c:pt>
                <c:pt idx="13">
                  <c:v>43831</c:v>
                </c:pt>
                <c:pt idx="14">
                  <c:v>43922</c:v>
                </c:pt>
                <c:pt idx="15">
                  <c:v>44013</c:v>
                </c:pt>
                <c:pt idx="16">
                  <c:v>44105</c:v>
                </c:pt>
                <c:pt idx="17">
                  <c:v>44197</c:v>
                </c:pt>
                <c:pt idx="18">
                  <c:v>44287</c:v>
                </c:pt>
                <c:pt idx="19">
                  <c:v>44378</c:v>
                </c:pt>
                <c:pt idx="20">
                  <c:v>44470</c:v>
                </c:pt>
                <c:pt idx="21">
                  <c:v>44562</c:v>
                </c:pt>
                <c:pt idx="22">
                  <c:v>44652</c:v>
                </c:pt>
                <c:pt idx="23">
                  <c:v>44743</c:v>
                </c:pt>
                <c:pt idx="24">
                  <c:v>44835</c:v>
                </c:pt>
                <c:pt idx="25">
                  <c:v>44927</c:v>
                </c:pt>
              </c:numCache>
            </c:numRef>
          </c:cat>
          <c:val>
            <c:numRef>
              <c:f>'Financial Proj'!$E$32:$E$57</c:f>
              <c:numCache>
                <c:formatCode>"$"#,##0</c:formatCode>
                <c:ptCount val="26"/>
                <c:pt idx="0">
                  <c:v>0</c:v>
                </c:pt>
                <c:pt idx="1">
                  <c:v>24702</c:v>
                </c:pt>
                <c:pt idx="2">
                  <c:v>243472</c:v>
                </c:pt>
                <c:pt idx="3">
                  <c:v>1437700</c:v>
                </c:pt>
                <c:pt idx="4">
                  <c:v>3104096</c:v>
                </c:pt>
                <c:pt idx="5">
                  <c:v>5268498</c:v>
                </c:pt>
                <c:pt idx="6">
                  <c:v>8767029</c:v>
                </c:pt>
                <c:pt idx="7">
                  <c:v>11545082</c:v>
                </c:pt>
                <c:pt idx="8">
                  <c:v>15255151</c:v>
                </c:pt>
                <c:pt idx="9">
                  <c:v>17369253</c:v>
                </c:pt>
                <c:pt idx="10">
                  <c:v>19674497</c:v>
                </c:pt>
                <c:pt idx="11">
                  <c:v>22505943</c:v>
                </c:pt>
                <c:pt idx="12">
                  <c:v>26774997</c:v>
                </c:pt>
                <c:pt idx="13">
                  <c:v>31362839</c:v>
                </c:pt>
                <c:pt idx="14">
                  <c:v>34844534</c:v>
                </c:pt>
                <c:pt idx="15">
                  <c:v>37753840</c:v>
                </c:pt>
                <c:pt idx="16">
                  <c:v>43950877</c:v>
                </c:pt>
                <c:pt idx="17">
                  <c:v>51131015</c:v>
                </c:pt>
                <c:pt idx="18">
                  <c:v>53227814</c:v>
                </c:pt>
                <c:pt idx="19">
                  <c:v>56224724</c:v>
                </c:pt>
                <c:pt idx="20">
                  <c:v>57810516</c:v>
                </c:pt>
                <c:pt idx="21">
                  <c:v>62619504</c:v>
                </c:pt>
                <c:pt idx="22">
                  <c:v>64268439</c:v>
                </c:pt>
                <c:pt idx="23">
                  <c:v>66568695</c:v>
                </c:pt>
                <c:pt idx="24">
                  <c:v>68952162</c:v>
                </c:pt>
                <c:pt idx="25">
                  <c:v>70386571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1F-4252-B704-FF2CFB470D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99090672"/>
        <c:axId val="1399091088"/>
      </c:lineChart>
      <c:dateAx>
        <c:axId val="139909067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9091088"/>
        <c:crosses val="autoZero"/>
        <c:auto val="1"/>
        <c:lblOffset val="100"/>
        <c:baseTimeUnit val="months"/>
      </c:dateAx>
      <c:valAx>
        <c:axId val="1399091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9090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IOWA NDR PROGRAM </a:t>
            </a:r>
            <a:endParaRPr lang="en-US">
              <a:effectLst/>
            </a:endParaRPr>
          </a:p>
          <a:p>
            <a:pPr>
              <a:defRPr/>
            </a:pPr>
            <a:r>
              <a:rPr lang="en-US" sz="1800" b="0" i="0" baseline="0">
                <a:effectLst/>
              </a:rPr>
              <a:t>Planning + Admin Expenditures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'Financial Proj'!$C$60</c:f>
              <c:strCache>
                <c:ptCount val="1"/>
                <c:pt idx="0">
                  <c:v>Projected Expenditures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'Financial Proj'!$A$61:$A$86</c:f>
              <c:numCache>
                <c:formatCode>m/d/yyyy</c:formatCode>
                <c:ptCount val="26"/>
                <c:pt idx="0">
                  <c:v>42644</c:v>
                </c:pt>
                <c:pt idx="1">
                  <c:v>42736</c:v>
                </c:pt>
                <c:pt idx="2">
                  <c:v>42826</c:v>
                </c:pt>
                <c:pt idx="3">
                  <c:v>42917</c:v>
                </c:pt>
                <c:pt idx="4">
                  <c:v>43009</c:v>
                </c:pt>
                <c:pt idx="5">
                  <c:v>43101</c:v>
                </c:pt>
                <c:pt idx="6">
                  <c:v>43191</c:v>
                </c:pt>
                <c:pt idx="7">
                  <c:v>43282</c:v>
                </c:pt>
                <c:pt idx="8">
                  <c:v>43374</c:v>
                </c:pt>
                <c:pt idx="9">
                  <c:v>43466</c:v>
                </c:pt>
                <c:pt idx="10">
                  <c:v>43556</c:v>
                </c:pt>
                <c:pt idx="11">
                  <c:v>43647</c:v>
                </c:pt>
                <c:pt idx="12">
                  <c:v>43739</c:v>
                </c:pt>
                <c:pt idx="13">
                  <c:v>43831</c:v>
                </c:pt>
                <c:pt idx="14">
                  <c:v>43922</c:v>
                </c:pt>
                <c:pt idx="15">
                  <c:v>44013</c:v>
                </c:pt>
                <c:pt idx="16">
                  <c:v>44105</c:v>
                </c:pt>
                <c:pt idx="17">
                  <c:v>44197</c:v>
                </c:pt>
                <c:pt idx="18">
                  <c:v>44287</c:v>
                </c:pt>
                <c:pt idx="19">
                  <c:v>44378</c:v>
                </c:pt>
                <c:pt idx="20">
                  <c:v>44470</c:v>
                </c:pt>
                <c:pt idx="21">
                  <c:v>44562</c:v>
                </c:pt>
                <c:pt idx="22">
                  <c:v>44652</c:v>
                </c:pt>
                <c:pt idx="23">
                  <c:v>44743</c:v>
                </c:pt>
                <c:pt idx="24">
                  <c:v>44835</c:v>
                </c:pt>
                <c:pt idx="25">
                  <c:v>44927</c:v>
                </c:pt>
              </c:numCache>
            </c:numRef>
          </c:cat>
          <c:val>
            <c:numRef>
              <c:f>'Financial Proj'!$C$61:$C$86</c:f>
              <c:numCache>
                <c:formatCode>"$"#,##0</c:formatCode>
                <c:ptCount val="26"/>
                <c:pt idx="0">
                  <c:v>614041.59745341609</c:v>
                </c:pt>
                <c:pt idx="1">
                  <c:v>1228083.1949068322</c:v>
                </c:pt>
                <c:pt idx="2">
                  <c:v>1842124.7923602483</c:v>
                </c:pt>
                <c:pt idx="3">
                  <c:v>2456166.3898136644</c:v>
                </c:pt>
                <c:pt idx="4">
                  <c:v>3070207.9872670807</c:v>
                </c:pt>
                <c:pt idx="5">
                  <c:v>3684249.584720497</c:v>
                </c:pt>
                <c:pt idx="6">
                  <c:v>4298291.1821739133</c:v>
                </c:pt>
                <c:pt idx="7">
                  <c:v>4912332.7796273297</c:v>
                </c:pt>
                <c:pt idx="8">
                  <c:v>5526374.377080746</c:v>
                </c:pt>
                <c:pt idx="9">
                  <c:v>6140415.9745341623</c:v>
                </c:pt>
                <c:pt idx="10">
                  <c:v>6754457.5719875786</c:v>
                </c:pt>
                <c:pt idx="11">
                  <c:v>7368499.169440995</c:v>
                </c:pt>
                <c:pt idx="12">
                  <c:v>7982540.7668944113</c:v>
                </c:pt>
                <c:pt idx="13">
                  <c:v>8596582.3643478267</c:v>
                </c:pt>
                <c:pt idx="14">
                  <c:v>9210623.9618012421</c:v>
                </c:pt>
                <c:pt idx="15">
                  <c:v>9824665.5592546575</c:v>
                </c:pt>
                <c:pt idx="16">
                  <c:v>10438707.156708073</c:v>
                </c:pt>
                <c:pt idx="17">
                  <c:v>11052748.754161488</c:v>
                </c:pt>
                <c:pt idx="18">
                  <c:v>11666790.351614904</c:v>
                </c:pt>
                <c:pt idx="19">
                  <c:v>12280831.949068319</c:v>
                </c:pt>
                <c:pt idx="20">
                  <c:v>12893420.246521736</c:v>
                </c:pt>
                <c:pt idx="21">
                  <c:v>13495294.258260867</c:v>
                </c:pt>
                <c:pt idx="22">
                  <c:v>14097168.269999998</c:v>
                </c:pt>
                <c:pt idx="23">
                  <c:v>14637878.759999998</c:v>
                </c:pt>
                <c:pt idx="24">
                  <c:v>15605703.999999998</c:v>
                </c:pt>
                <c:pt idx="25">
                  <c:v>15605703.999999998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8B-4429-93CD-AA4DC6D0B3CF}"/>
            </c:ext>
          </c:extLst>
        </c:ser>
        <c:ser>
          <c:idx val="1"/>
          <c:order val="1"/>
          <c:tx>
            <c:strRef>
              <c:f>'Financial Proj'!$E$60</c:f>
              <c:strCache>
                <c:ptCount val="1"/>
                <c:pt idx="0">
                  <c:v>Actual Expenditures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'Financial Proj'!$A$61:$A$86</c:f>
              <c:numCache>
                <c:formatCode>m/d/yyyy</c:formatCode>
                <c:ptCount val="26"/>
                <c:pt idx="0">
                  <c:v>42644</c:v>
                </c:pt>
                <c:pt idx="1">
                  <c:v>42736</c:v>
                </c:pt>
                <c:pt idx="2">
                  <c:v>42826</c:v>
                </c:pt>
                <c:pt idx="3">
                  <c:v>42917</c:v>
                </c:pt>
                <c:pt idx="4">
                  <c:v>43009</c:v>
                </c:pt>
                <c:pt idx="5">
                  <c:v>43101</c:v>
                </c:pt>
                <c:pt idx="6">
                  <c:v>43191</c:v>
                </c:pt>
                <c:pt idx="7">
                  <c:v>43282</c:v>
                </c:pt>
                <c:pt idx="8">
                  <c:v>43374</c:v>
                </c:pt>
                <c:pt idx="9">
                  <c:v>43466</c:v>
                </c:pt>
                <c:pt idx="10">
                  <c:v>43556</c:v>
                </c:pt>
                <c:pt idx="11">
                  <c:v>43647</c:v>
                </c:pt>
                <c:pt idx="12">
                  <c:v>43739</c:v>
                </c:pt>
                <c:pt idx="13">
                  <c:v>43831</c:v>
                </c:pt>
                <c:pt idx="14">
                  <c:v>43922</c:v>
                </c:pt>
                <c:pt idx="15">
                  <c:v>44013</c:v>
                </c:pt>
                <c:pt idx="16">
                  <c:v>44105</c:v>
                </c:pt>
                <c:pt idx="17">
                  <c:v>44197</c:v>
                </c:pt>
                <c:pt idx="18">
                  <c:v>44287</c:v>
                </c:pt>
                <c:pt idx="19">
                  <c:v>44378</c:v>
                </c:pt>
                <c:pt idx="20">
                  <c:v>44470</c:v>
                </c:pt>
                <c:pt idx="21">
                  <c:v>44562</c:v>
                </c:pt>
                <c:pt idx="22">
                  <c:v>44652</c:v>
                </c:pt>
                <c:pt idx="23">
                  <c:v>44743</c:v>
                </c:pt>
                <c:pt idx="24">
                  <c:v>44835</c:v>
                </c:pt>
                <c:pt idx="25">
                  <c:v>44927</c:v>
                </c:pt>
              </c:numCache>
            </c:numRef>
          </c:cat>
          <c:val>
            <c:numRef>
              <c:f>'Financial Proj'!$E$61:$E$86</c:f>
              <c:numCache>
                <c:formatCode>"$"#,##0</c:formatCode>
                <c:ptCount val="26"/>
                <c:pt idx="0">
                  <c:v>0</c:v>
                </c:pt>
                <c:pt idx="1">
                  <c:v>338833</c:v>
                </c:pt>
                <c:pt idx="2">
                  <c:v>1436455</c:v>
                </c:pt>
                <c:pt idx="3">
                  <c:v>2617553</c:v>
                </c:pt>
                <c:pt idx="4">
                  <c:v>3555220</c:v>
                </c:pt>
                <c:pt idx="5">
                  <c:v>4512443</c:v>
                </c:pt>
                <c:pt idx="6">
                  <c:v>5796275</c:v>
                </c:pt>
                <c:pt idx="7">
                  <c:v>6745984</c:v>
                </c:pt>
                <c:pt idx="8">
                  <c:v>7585295</c:v>
                </c:pt>
                <c:pt idx="9">
                  <c:v>8457209</c:v>
                </c:pt>
                <c:pt idx="10">
                  <c:v>9250128</c:v>
                </c:pt>
                <c:pt idx="11">
                  <c:v>9795085</c:v>
                </c:pt>
                <c:pt idx="12">
                  <c:v>10625613</c:v>
                </c:pt>
                <c:pt idx="13">
                  <c:v>11158223</c:v>
                </c:pt>
                <c:pt idx="14">
                  <c:v>11750377</c:v>
                </c:pt>
                <c:pt idx="15">
                  <c:v>11984126</c:v>
                </c:pt>
                <c:pt idx="16">
                  <c:v>12326622</c:v>
                </c:pt>
                <c:pt idx="17">
                  <c:v>13038038</c:v>
                </c:pt>
                <c:pt idx="18">
                  <c:v>13365630</c:v>
                </c:pt>
                <c:pt idx="19">
                  <c:v>13814083</c:v>
                </c:pt>
                <c:pt idx="20">
                  <c:v>13967765</c:v>
                </c:pt>
                <c:pt idx="21">
                  <c:v>14280203</c:v>
                </c:pt>
                <c:pt idx="22">
                  <c:v>14392489</c:v>
                </c:pt>
                <c:pt idx="23">
                  <c:v>14609835</c:v>
                </c:pt>
                <c:pt idx="24">
                  <c:v>14866591.460000001</c:v>
                </c:pt>
                <c:pt idx="25">
                  <c:v>15021298.590000002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8B-4429-93CD-AA4DC6D0B3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2479280"/>
        <c:axId val="1422473456"/>
      </c:lineChart>
      <c:dateAx>
        <c:axId val="142247928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2473456"/>
        <c:crosses val="autoZero"/>
        <c:auto val="1"/>
        <c:lblOffset val="100"/>
        <c:baseTimeUnit val="months"/>
      </c:dateAx>
      <c:valAx>
        <c:axId val="1422473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2479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IOWA NDR PROGRAM </a:t>
            </a:r>
            <a:endParaRPr lang="en-US">
              <a:effectLst/>
            </a:endParaRPr>
          </a:p>
          <a:p>
            <a:pPr>
              <a:defRPr/>
            </a:pPr>
            <a:r>
              <a:rPr lang="en-US" sz="1800" b="0" i="0" baseline="0">
                <a:effectLst/>
              </a:rPr>
              <a:t>Total Grant Expenditures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'Financial Proj'!$C$90</c:f>
              <c:strCache>
                <c:ptCount val="1"/>
                <c:pt idx="0">
                  <c:v>Projected Expenditures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'Financial Proj'!$A$91:$A$116</c:f>
              <c:numCache>
                <c:formatCode>m/d/yyyy</c:formatCode>
                <c:ptCount val="26"/>
                <c:pt idx="0">
                  <c:v>42644</c:v>
                </c:pt>
                <c:pt idx="1">
                  <c:v>42736</c:v>
                </c:pt>
                <c:pt idx="2">
                  <c:v>42826</c:v>
                </c:pt>
                <c:pt idx="3">
                  <c:v>42917</c:v>
                </c:pt>
                <c:pt idx="4">
                  <c:v>43009</c:v>
                </c:pt>
                <c:pt idx="5">
                  <c:v>43101</c:v>
                </c:pt>
                <c:pt idx="6">
                  <c:v>43191</c:v>
                </c:pt>
                <c:pt idx="7">
                  <c:v>43282</c:v>
                </c:pt>
                <c:pt idx="8">
                  <c:v>43374</c:v>
                </c:pt>
                <c:pt idx="9">
                  <c:v>43466</c:v>
                </c:pt>
                <c:pt idx="10">
                  <c:v>43556</c:v>
                </c:pt>
                <c:pt idx="11">
                  <c:v>43647</c:v>
                </c:pt>
                <c:pt idx="12">
                  <c:v>43739</c:v>
                </c:pt>
                <c:pt idx="13">
                  <c:v>43831</c:v>
                </c:pt>
                <c:pt idx="14">
                  <c:v>43922</c:v>
                </c:pt>
                <c:pt idx="15">
                  <c:v>44013</c:v>
                </c:pt>
                <c:pt idx="16">
                  <c:v>44105</c:v>
                </c:pt>
                <c:pt idx="17">
                  <c:v>44197</c:v>
                </c:pt>
                <c:pt idx="18">
                  <c:v>44287</c:v>
                </c:pt>
                <c:pt idx="19">
                  <c:v>44378</c:v>
                </c:pt>
                <c:pt idx="20">
                  <c:v>44470</c:v>
                </c:pt>
                <c:pt idx="21">
                  <c:v>44562</c:v>
                </c:pt>
                <c:pt idx="22">
                  <c:v>44652</c:v>
                </c:pt>
                <c:pt idx="23">
                  <c:v>44743</c:v>
                </c:pt>
                <c:pt idx="24">
                  <c:v>44835</c:v>
                </c:pt>
                <c:pt idx="25">
                  <c:v>44927</c:v>
                </c:pt>
              </c:numCache>
            </c:numRef>
          </c:cat>
          <c:val>
            <c:numRef>
              <c:f>'Financial Proj'!$C$91:$C$116</c:f>
              <c:numCache>
                <c:formatCode>"$"#,##0</c:formatCode>
                <c:ptCount val="26"/>
                <c:pt idx="0">
                  <c:v>3944988.3460041415</c:v>
                </c:pt>
                <c:pt idx="1">
                  <c:v>7889976.692008283</c:v>
                </c:pt>
                <c:pt idx="2">
                  <c:v>11834965.038012424</c:v>
                </c:pt>
                <c:pt idx="3">
                  <c:v>15779953.384016566</c:v>
                </c:pt>
                <c:pt idx="4">
                  <c:v>19724941.730020709</c:v>
                </c:pt>
                <c:pt idx="5">
                  <c:v>23669930.076024853</c:v>
                </c:pt>
                <c:pt idx="6">
                  <c:v>27614918.422028996</c:v>
                </c:pt>
                <c:pt idx="7">
                  <c:v>31559906.768033139</c:v>
                </c:pt>
                <c:pt idx="8">
                  <c:v>35504895.114037283</c:v>
                </c:pt>
                <c:pt idx="9">
                  <c:v>39449883.460041426</c:v>
                </c:pt>
                <c:pt idx="10">
                  <c:v>43394871.806045569</c:v>
                </c:pt>
                <c:pt idx="11">
                  <c:v>47339860.152049713</c:v>
                </c:pt>
                <c:pt idx="12">
                  <c:v>51284848.498053856</c:v>
                </c:pt>
                <c:pt idx="13">
                  <c:v>55229836.844058</c:v>
                </c:pt>
                <c:pt idx="14">
                  <c:v>59174825.190062143</c:v>
                </c:pt>
                <c:pt idx="15">
                  <c:v>63119813.536066286</c:v>
                </c:pt>
                <c:pt idx="16">
                  <c:v>67064801.88207043</c:v>
                </c:pt>
                <c:pt idx="17">
                  <c:v>71009790.228074566</c:v>
                </c:pt>
                <c:pt idx="18">
                  <c:v>74954778.574078709</c:v>
                </c:pt>
                <c:pt idx="19">
                  <c:v>78899766.920082852</c:v>
                </c:pt>
                <c:pt idx="20">
                  <c:v>82751561.966086999</c:v>
                </c:pt>
                <c:pt idx="21">
                  <c:v>86592642.726376861</c:v>
                </c:pt>
                <c:pt idx="22">
                  <c:v>90433723.486666709</c:v>
                </c:pt>
                <c:pt idx="23">
                  <c:v>92445680.160000041</c:v>
                </c:pt>
                <c:pt idx="24">
                  <c:v>94031017.000000045</c:v>
                </c:pt>
                <c:pt idx="25">
                  <c:v>94031017.000000045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02-4DDF-BAFC-64A5DD496E83}"/>
            </c:ext>
          </c:extLst>
        </c:ser>
        <c:ser>
          <c:idx val="1"/>
          <c:order val="1"/>
          <c:tx>
            <c:strRef>
              <c:f>'Financial Proj'!$E$90</c:f>
              <c:strCache>
                <c:ptCount val="1"/>
                <c:pt idx="0">
                  <c:v>Actual Expenditures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'Financial Proj'!$A$91:$A$116</c:f>
              <c:numCache>
                <c:formatCode>m/d/yyyy</c:formatCode>
                <c:ptCount val="26"/>
                <c:pt idx="0">
                  <c:v>42644</c:v>
                </c:pt>
                <c:pt idx="1">
                  <c:v>42736</c:v>
                </c:pt>
                <c:pt idx="2">
                  <c:v>42826</c:v>
                </c:pt>
                <c:pt idx="3">
                  <c:v>42917</c:v>
                </c:pt>
                <c:pt idx="4">
                  <c:v>43009</c:v>
                </c:pt>
                <c:pt idx="5">
                  <c:v>43101</c:v>
                </c:pt>
                <c:pt idx="6">
                  <c:v>43191</c:v>
                </c:pt>
                <c:pt idx="7">
                  <c:v>43282</c:v>
                </c:pt>
                <c:pt idx="8">
                  <c:v>43374</c:v>
                </c:pt>
                <c:pt idx="9">
                  <c:v>43466</c:v>
                </c:pt>
                <c:pt idx="10">
                  <c:v>43556</c:v>
                </c:pt>
                <c:pt idx="11">
                  <c:v>43647</c:v>
                </c:pt>
                <c:pt idx="12">
                  <c:v>43739</c:v>
                </c:pt>
                <c:pt idx="13">
                  <c:v>43831</c:v>
                </c:pt>
                <c:pt idx="14">
                  <c:v>43922</c:v>
                </c:pt>
                <c:pt idx="15">
                  <c:v>44013</c:v>
                </c:pt>
                <c:pt idx="16">
                  <c:v>44105</c:v>
                </c:pt>
                <c:pt idx="17">
                  <c:v>44197</c:v>
                </c:pt>
                <c:pt idx="18">
                  <c:v>44287</c:v>
                </c:pt>
                <c:pt idx="19">
                  <c:v>44378</c:v>
                </c:pt>
                <c:pt idx="20">
                  <c:v>44470</c:v>
                </c:pt>
                <c:pt idx="21">
                  <c:v>44562</c:v>
                </c:pt>
                <c:pt idx="22">
                  <c:v>44652</c:v>
                </c:pt>
                <c:pt idx="23">
                  <c:v>44743</c:v>
                </c:pt>
                <c:pt idx="24">
                  <c:v>44835</c:v>
                </c:pt>
                <c:pt idx="25">
                  <c:v>44927</c:v>
                </c:pt>
              </c:numCache>
            </c:numRef>
          </c:cat>
          <c:val>
            <c:numRef>
              <c:f>'Financial Proj'!$E$91:$E$116</c:f>
              <c:numCache>
                <c:formatCode>"$"#,##0</c:formatCode>
                <c:ptCount val="26"/>
                <c:pt idx="0">
                  <c:v>0</c:v>
                </c:pt>
                <c:pt idx="1">
                  <c:v>363535</c:v>
                </c:pt>
                <c:pt idx="2">
                  <c:v>1679927</c:v>
                </c:pt>
                <c:pt idx="3">
                  <c:v>4055253</c:v>
                </c:pt>
                <c:pt idx="4">
                  <c:v>6659316</c:v>
                </c:pt>
                <c:pt idx="5">
                  <c:v>9780941</c:v>
                </c:pt>
                <c:pt idx="6">
                  <c:v>14802810</c:v>
                </c:pt>
                <c:pt idx="7">
                  <c:v>18695716</c:v>
                </c:pt>
                <c:pt idx="8">
                  <c:v>23866310</c:v>
                </c:pt>
                <c:pt idx="9">
                  <c:v>26852326</c:v>
                </c:pt>
                <c:pt idx="10">
                  <c:v>30657942</c:v>
                </c:pt>
                <c:pt idx="11">
                  <c:v>34494678</c:v>
                </c:pt>
                <c:pt idx="12">
                  <c:v>40841862</c:v>
                </c:pt>
                <c:pt idx="13">
                  <c:v>46626302</c:v>
                </c:pt>
                <c:pt idx="14">
                  <c:v>51207800</c:v>
                </c:pt>
                <c:pt idx="15">
                  <c:v>54350855</c:v>
                </c:pt>
                <c:pt idx="16">
                  <c:v>61441060</c:v>
                </c:pt>
                <c:pt idx="17">
                  <c:v>69785651</c:v>
                </c:pt>
                <c:pt idx="18">
                  <c:v>72436811</c:v>
                </c:pt>
                <c:pt idx="19">
                  <c:v>76781762</c:v>
                </c:pt>
                <c:pt idx="20">
                  <c:v>78521236</c:v>
                </c:pt>
                <c:pt idx="21">
                  <c:v>84228505</c:v>
                </c:pt>
                <c:pt idx="22">
                  <c:v>86147658</c:v>
                </c:pt>
                <c:pt idx="23">
                  <c:v>89302505</c:v>
                </c:pt>
                <c:pt idx="24">
                  <c:v>91942728.459999993</c:v>
                </c:pt>
                <c:pt idx="25">
                  <c:v>93531844.589999989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02-4DDF-BAFC-64A5DD496E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67085936"/>
        <c:axId val="1067088016"/>
      </c:lineChart>
      <c:dateAx>
        <c:axId val="106708593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7088016"/>
        <c:crosses val="autoZero"/>
        <c:auto val="1"/>
        <c:lblOffset val="100"/>
        <c:baseTimeUnit val="months"/>
      </c:dateAx>
      <c:valAx>
        <c:axId val="1067088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7085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1081086</xdr:colOff>
      <xdr:row>0</xdr:row>
      <xdr:rowOff>728662</xdr:rowOff>
    </xdr:from>
    <xdr:to>
      <xdr:col>16</xdr:col>
      <xdr:colOff>847724</xdr:colOff>
      <xdr:row>23</xdr:row>
      <xdr:rowOff>133350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97E0DE3-50D3-1D7D-3C40-117F203763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9524</xdr:colOff>
      <xdr:row>55</xdr:row>
      <xdr:rowOff>157162</xdr:rowOff>
    </xdr:from>
    <xdr:to>
      <xdr:col>10</xdr:col>
      <xdr:colOff>19049</xdr:colOff>
      <xdr:row>76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CFFAC95-B3CC-092D-821F-3D3C48B4EC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204787</xdr:colOff>
      <xdr:row>78</xdr:row>
      <xdr:rowOff>862012</xdr:rowOff>
    </xdr:from>
    <xdr:to>
      <xdr:col>12</xdr:col>
      <xdr:colOff>123825</xdr:colOff>
      <xdr:row>104</xdr:row>
      <xdr:rowOff>133350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7A40A05-623A-B879-434E-9251AC8B1E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13608</xdr:colOff>
      <xdr:row>3</xdr:row>
      <xdr:rowOff>0</xdr:rowOff>
    </xdr:from>
    <xdr:to>
      <xdr:col>13</xdr:col>
      <xdr:colOff>0</xdr:colOff>
      <xdr:row>29</xdr:row>
      <xdr:rowOff>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DE43E1D0-38E3-B3A0-5EFE-0BFC9893C4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30</xdr:row>
      <xdr:rowOff>367393</xdr:rowOff>
    </xdr:from>
    <xdr:to>
      <xdr:col>13</xdr:col>
      <xdr:colOff>0</xdr:colOff>
      <xdr:row>57</xdr:row>
      <xdr:rowOff>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3E256A8A-D87A-768F-3773-426F9F7113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1088570</xdr:colOff>
      <xdr:row>59</xdr:row>
      <xdr:rowOff>370115</xdr:rowOff>
    </xdr:from>
    <xdr:to>
      <xdr:col>13</xdr:col>
      <xdr:colOff>54429</xdr:colOff>
      <xdr:row>85</xdr:row>
      <xdr:rowOff>176893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F36E9FD1-C469-A033-6DE9-9C02D34379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27214</xdr:colOff>
      <xdr:row>90</xdr:row>
      <xdr:rowOff>2721</xdr:rowOff>
    </xdr:from>
    <xdr:to>
      <xdr:col>13</xdr:col>
      <xdr:colOff>13608</xdr:colOff>
      <xdr:row>116</xdr:row>
      <xdr:rowOff>40821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53C2FD1B-4230-6C4F-BC5D-6337513F18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C0700CB-A87B-4A31-839D-6C3E3E8CFE49}" name="Table22" displayName="Table22" ref="A4:AA28" totalsRowShown="0" headerRowDxfId="80" dataDxfId="78" headerRowBorderDxfId="79" tableBorderDxfId="77" dataCellStyle="Currency">
  <autoFilter ref="A4:AA28" xr:uid="{BC0700CB-A87B-4A31-839D-6C3E3E8CFE49}"/>
  <tableColumns count="27">
    <tableColumn id="1" xr3:uid="{6B50E6CB-9F21-4CC3-9E17-70EFC2F4476F}" name="Year" dataDxfId="76"/>
    <tableColumn id="2" xr3:uid="{9A17765C-5B08-4ADA-9339-B8712416773F}" name="Quarter" dataDxfId="75"/>
    <tableColumn id="3" xr3:uid="{62EC0FBD-A32F-4209-A1BF-7EAB3E2A8FEF}" name="Start Date" dataDxfId="74"/>
    <tableColumn id="4" xr3:uid="{3515FEB1-8E9A-4C05-B3CA-BDFDD613F937}" name="End Date" dataDxfId="73"/>
    <tableColumn id="5" xr3:uid="{4DC5F96B-A44E-4238-9773-8ABD24D56BFF}" name="Column1" dataDxfId="72"/>
    <tableColumn id="6" xr3:uid="{7DFA0573-3A1F-4830-BE69-BE2E9BC8417C}" name="Column2" dataDxfId="71"/>
    <tableColumn id="7" xr3:uid="{45EB791A-5707-4860-83B8-437FB4176067}" name="Column3" dataDxfId="70"/>
    <tableColumn id="8" xr3:uid="{E26311B8-303D-4B83-9E40-E456CEC21E91}" name="Column4" dataDxfId="69"/>
    <tableColumn id="9" xr3:uid="{0AF24888-BA34-4A60-AD41-498F41FA7F8A}" name="Column5" dataDxfId="68" dataCellStyle="Currency"/>
    <tableColumn id="10" xr3:uid="{6DB54A5B-7F1E-499B-ABBE-1EE2EC9265CC}" name="Column6" dataDxfId="67" dataCellStyle="Currency"/>
    <tableColumn id="11" xr3:uid="{2316E2A8-00A8-4666-92FB-890E7164BAFC}" name="Column7" dataDxfId="66" dataCellStyle="Currency"/>
    <tableColumn id="12" xr3:uid="{E4BB176F-2624-443B-AEDE-2994E131B761}" name="Column8" dataDxfId="65" dataCellStyle="Currency"/>
    <tableColumn id="13" xr3:uid="{7EA8E215-2A04-4493-9986-5542C19444AE}" name="Column9" dataDxfId="64" dataCellStyle="Currency"/>
    <tableColumn id="14" xr3:uid="{26286956-C605-498F-BAFA-88EA6487AD35}" name="Column10" dataDxfId="63" dataCellStyle="Currency"/>
    <tableColumn id="15" xr3:uid="{35DC7978-0F5B-48E2-82D2-B4175DB5FE02}" name="Column11" dataDxfId="62" dataCellStyle="Currency"/>
    <tableColumn id="16" xr3:uid="{22650654-DA0B-4CD5-BA5B-28932155DCFE}" name="Column12" dataDxfId="61" dataCellStyle="Currency"/>
    <tableColumn id="28" xr3:uid="{65EA0637-1C18-4C35-9D9C-BBBF1D3E4747}" name="Column13" dataDxfId="60" dataCellStyle="Currency"/>
    <tableColumn id="29" xr3:uid="{E98DEB79-4528-4D0A-AD35-45717CCFE30C}" name="Column14" dataDxfId="59" dataCellStyle="Currency"/>
    <tableColumn id="30" xr3:uid="{23A38C84-AABC-4E4E-AB60-4A0F24345BBF}" name="Column15" dataDxfId="58" dataCellStyle="Currency"/>
    <tableColumn id="31" xr3:uid="{22DBC775-7C9E-411F-AA05-AFA33C6EA091}" name="Column16" dataDxfId="57" dataCellStyle="Currency"/>
    <tableColumn id="32" xr3:uid="{DFE278A7-3F18-4DC7-8945-9EF30C82BB42}" name="Column17" dataDxfId="56" dataCellStyle="Currency">
      <calculatedColumnFormula>SUM(E5+I5+Table22[[#This Row],[Column9]]+Table22[[#This Row],[Column13]])</calculatedColumnFormula>
    </tableColumn>
    <tableColumn id="33" xr3:uid="{4BE6608F-877F-43C9-BB6E-60E603098499}" name="Column18" dataDxfId="55" dataCellStyle="Currency"/>
    <tableColumn id="34" xr3:uid="{4A1E830A-8284-4732-B78B-ECB08C507D01}" name="Column19" dataDxfId="54" dataCellStyle="Currency">
      <calculatedColumnFormula>SUM(G5+K5+Table22[[#This Row],[Column11]]+Table22[[#This Row],[Column15]])</calculatedColumnFormula>
    </tableColumn>
    <tableColumn id="35" xr3:uid="{B92BADAF-289B-4C42-8615-F6564D7D3008}" name="Column20" dataDxfId="53"/>
    <tableColumn id="20" xr3:uid="{2FB9E600-48B3-4202-AD8E-06EB78D89AFA}" name="Column202" dataDxfId="52" dataCellStyle="Percent">
      <calculatedColumnFormula>Table22[[#This Row],[Column19]]/Table22[[#This Row],[Column17]]</calculatedColumnFormula>
    </tableColumn>
    <tableColumn id="36" xr3:uid="{CC6CC333-F59A-4525-A3D0-104214FA46C2}" name="Column21" dataDxfId="51" dataCellStyle="Percent">
      <calculatedColumnFormula>SUM(X5/V5)</calculatedColumnFormula>
    </tableColumn>
    <tableColumn id="21" xr3:uid="{BAB24F94-8799-4585-8EF4-49ED823C4D05}" name="Column22" dataDxfId="50" dataCellStyle="Currency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5C4C5DE-7A87-4E84-8F8B-DC69920D2CAA}" name="Table2" displayName="Table2" ref="A3:U29" totalsRowShown="0" headerRowDxfId="49" dataDxfId="47" headerRowBorderDxfId="48" tableBorderDxfId="46" dataCellStyle="Currency">
  <autoFilter ref="A3:U29" xr:uid="{E5C4C5DE-7A87-4E84-8F8B-DC69920D2CAA}"/>
  <tableColumns count="21">
    <tableColumn id="1" xr3:uid="{628B9691-F658-4B50-99F4-ADB96707C15A}" name="Year" dataDxfId="45"/>
    <tableColumn id="2" xr3:uid="{C17FE575-9A1F-4BC7-AB5F-D03B1A1F2C9F}" name="Quarter" dataDxfId="44"/>
    <tableColumn id="3" xr3:uid="{1DE3127C-157E-4E60-810D-CEE8CFA3397D}" name="Start Date" dataDxfId="43"/>
    <tableColumn id="4" xr3:uid="{85880978-6B7B-4D21-B55E-114DB83F46C1}" name="End Date" dataDxfId="42"/>
    <tableColumn id="5" xr3:uid="{975EBE07-71FB-4E61-B84B-64FC8A604DDB}" name="Quarter $ Projection" dataDxfId="41"/>
    <tableColumn id="6" xr3:uid="{4EC4B9B6-AA0B-4369-884B-6C99DF6D1DB3}" name="Cumulative $ Paid Projection" dataDxfId="40"/>
    <tableColumn id="7" xr3:uid="{964DD0CF-4486-4A08-A1AA-0CDF327EAB22}" name="Actual Quarter $ Paid" dataDxfId="39"/>
    <tableColumn id="8" xr3:uid="{4A9A207B-53C8-4C32-87EC-24F163759720}" name="Actual Total $ Paid" dataDxfId="38"/>
    <tableColumn id="9" xr3:uid="{6A645C5A-0219-4A6D-9575-38CB1171CF27}" name="Quarter $ Projection2" dataDxfId="37" dataCellStyle="Currency"/>
    <tableColumn id="10" xr3:uid="{527D0D53-EB47-46CA-8652-D7E2B8264111}" name="Cumulative $ Paid Projection3" dataDxfId="36" dataCellStyle="Currency"/>
    <tableColumn id="11" xr3:uid="{1FAB7F7B-9768-467F-8114-C622A30C30D5}" name="Actual Quarter $ Paid4" dataDxfId="35" dataCellStyle="Currency"/>
    <tableColumn id="12" xr3:uid="{1ABD70B8-4D43-4461-B8F4-6CE9A7184721}" name="Actual Total $ Paid5" dataDxfId="34" dataCellStyle="Currency"/>
    <tableColumn id="28" xr3:uid="{A34FDE56-44AA-40C8-8C20-72038DC24D7C}" name="Quarter $ Projection6" dataDxfId="33" dataCellStyle="Currency"/>
    <tableColumn id="29" xr3:uid="{646F6B66-0801-4679-AA46-66CD463D67CC}" name="Cumulative $ Paid Projection7" dataDxfId="32" dataCellStyle="Currency"/>
    <tableColumn id="30" xr3:uid="{0BFC202A-6F52-4E43-B40F-BFEF6F2441C8}" name="Actual Quarter $ Paid8" dataDxfId="31" dataCellStyle="Currency"/>
    <tableColumn id="31" xr3:uid="{CDBEBD23-4253-449C-AA75-3EF6E6B1951B}" name="Actual Total $ Paid9" dataDxfId="30" dataCellStyle="Currency"/>
    <tableColumn id="32" xr3:uid="{18F7C8C5-4E6C-4E25-B612-434565815A6A}" name="Quarter $ Projection10" dataDxfId="29" dataCellStyle="Currency">
      <calculatedColumnFormula>SUM(E4+I4+M4)</calculatedColumnFormula>
    </tableColumn>
    <tableColumn id="33" xr3:uid="{258BC6BD-A9C1-42D2-931A-188E4F258763}" name="Cumulative $ Paid Projection11" dataDxfId="28" dataCellStyle="Currency"/>
    <tableColumn id="34" xr3:uid="{11E780C3-2006-4B7F-A873-78D530FDFB3F}" name="Actual Quarter $ Paid12" dataDxfId="27" dataCellStyle="Currency">
      <calculatedColumnFormula>SUM(G4+K4+O4)</calculatedColumnFormula>
    </tableColumn>
    <tableColumn id="35" xr3:uid="{6270CF93-C67C-4A54-9A1F-4935CE6A68A2}" name="Actual Total $ Paid13" dataDxfId="26"/>
    <tableColumn id="36" xr3:uid="{68CE9F9D-F2ED-404A-8639-69A0106F9B2B}" name="Actual Cumulative % Paid" dataDxfId="25">
      <calculatedColumnFormula>SUM(T4/R4)*100</calculatedColumnFormula>
    </tableColumn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88435C3-9453-4E59-A386-C384E0405324}" name="Table1" displayName="Table1" ref="A4:U30" totalsRowShown="0" headerRowDxfId="24" dataDxfId="22" headerRowBorderDxfId="23" tableBorderDxfId="21" headerRowCellStyle="Currency" dataCellStyle="Currency">
  <autoFilter ref="A4:U30" xr:uid="{088435C3-9453-4E59-A386-C384E0405324}"/>
  <tableColumns count="21">
    <tableColumn id="1" xr3:uid="{2C89954D-5FE9-4E4C-ACFC-DDC2D920F3F8}" name="Column1" dataDxfId="20"/>
    <tableColumn id="2" xr3:uid="{92025369-1D4F-4D86-81D2-8693ABDD39F3}" name="Column2" dataDxfId="19"/>
    <tableColumn id="3" xr3:uid="{2C0B6AD9-1525-486F-AB68-A613CE721274}" name="Column3" dataDxfId="18"/>
    <tableColumn id="4" xr3:uid="{2789A09E-CE59-4956-B112-79F08519CE4E}" name="Column4" dataDxfId="17"/>
    <tableColumn id="5" xr3:uid="{D38B29F6-32FE-4EEC-84E7-0D2149A6B10E}" name="Column5" dataDxfId="16"/>
    <tableColumn id="6" xr3:uid="{F385D956-6379-4C18-8BBE-706BF7A8F13B}" name="Column6" dataDxfId="15"/>
    <tableColumn id="7" xr3:uid="{923772D5-0813-4302-8AD2-B9387A10C60D}" name="Column7" dataDxfId="14"/>
    <tableColumn id="8" xr3:uid="{7EFAC809-D5E3-4D81-98C5-48FB91E8B9F8}" name="Column8" dataDxfId="13"/>
    <tableColumn id="13" xr3:uid="{39FCA705-5BBF-41E3-A91F-2F46A658D22E}" name="Column13" dataDxfId="12" dataCellStyle="Currency"/>
    <tableColumn id="14" xr3:uid="{61C867B3-10FB-40BC-A2DF-293F1E6F60DE}" name="Column14" dataDxfId="11"/>
    <tableColumn id="15" xr3:uid="{2705AA82-3A10-4277-B3A1-A42FE24DE958}" name="Column15" dataDxfId="10" dataCellStyle="Currency"/>
    <tableColumn id="16" xr3:uid="{6FEA9B84-6947-4402-A363-A13FFB2C77F7}" name="Column16" dataDxfId="9"/>
    <tableColumn id="29" xr3:uid="{753F8567-507D-4916-8449-458DD7AD46E4}" name="Column29" dataDxfId="8" dataCellStyle="Currency"/>
    <tableColumn id="30" xr3:uid="{2DF1FBF8-8C22-4085-B6DB-7A93693B1DF1}" name="Column30" dataDxfId="7" dataCellStyle="Currency">
      <calculatedColumnFormula>SUM(N4+M5)</calculatedColumnFormula>
    </tableColumn>
    <tableColumn id="31" xr3:uid="{33AB8E04-CFFC-4CF7-8A9B-671FA37E1282}" name="Column31" dataDxfId="6" dataCellStyle="Currency"/>
    <tableColumn id="32" xr3:uid="{90C45F1F-9912-4F09-93CF-9BFADA20FFE0}" name="Column32" dataDxfId="5" dataCellStyle="Currency">
      <calculatedColumnFormula>SUM(P4+O5)</calculatedColumnFormula>
    </tableColumn>
    <tableColumn id="33" xr3:uid="{ABD561D4-A9E5-4001-B805-6BB18E62C0B2}" name="Column33" dataDxfId="4" dataCellStyle="Currency">
      <calculatedColumnFormula>SUM(E5+I5+M5)</calculatedColumnFormula>
    </tableColumn>
    <tableColumn id="34" xr3:uid="{1B04DD8D-2AEC-4046-8572-ADD14FDBD40D}" name="Column34" dataDxfId="3" dataCellStyle="Currency">
      <calculatedColumnFormula>SUM(R4+Q5)</calculatedColumnFormula>
    </tableColumn>
    <tableColumn id="35" xr3:uid="{4D6AD0FC-9FE8-4746-AE18-BF0C7AB4F7B6}" name="Column35" dataDxfId="2" dataCellStyle="Currency">
      <calculatedColumnFormula>SUM(G5+K5+O5)</calculatedColumnFormula>
    </tableColumn>
    <tableColumn id="36" xr3:uid="{ADBE3F64-1F34-4328-927E-ABECAEE21915}" name="Column36" dataDxfId="1" dataCellStyle="Currency">
      <calculatedColumnFormula>SUM(T4+S5)</calculatedColumnFormula>
    </tableColumn>
    <tableColumn id="37" xr3:uid="{0FD92260-F714-48DB-875C-99D8DFFD43E5}" name="Column37" dataDxfId="0">
      <calculatedColumnFormula>SUM(T5/R5)*100</calculatedColumnFormula>
    </tableColumn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C0B69-2CC5-4355-81EA-136EEE3F8084}">
  <sheetPr>
    <tabColor rgb="FF92D050"/>
  </sheetPr>
  <dimension ref="A1:L105"/>
  <sheetViews>
    <sheetView zoomScale="80" zoomScaleNormal="80" workbookViewId="0">
      <selection activeCell="F17" sqref="F17"/>
    </sheetView>
  </sheetViews>
  <sheetFormatPr defaultRowHeight="15" x14ac:dyDescent="0.25"/>
  <cols>
    <col min="1" max="1" width="12.85546875" customWidth="1"/>
    <col min="2" max="4" width="20" bestFit="1" customWidth="1"/>
    <col min="5" max="5" width="15.42578125" bestFit="1" customWidth="1"/>
    <col min="6" max="6" width="16.42578125" bestFit="1" customWidth="1"/>
    <col min="7" max="7" width="15.42578125" bestFit="1" customWidth="1"/>
    <col min="8" max="8" width="20.28515625" customWidth="1"/>
    <col min="9" max="10" width="23.140625" customWidth="1"/>
    <col min="11" max="11" width="16.28515625" customWidth="1"/>
    <col min="12" max="12" width="14.85546875" customWidth="1"/>
    <col min="13" max="13" width="18.140625" customWidth="1"/>
    <col min="14" max="14" width="13.5703125" customWidth="1"/>
    <col min="15" max="15" width="14.42578125" customWidth="1"/>
    <col min="16" max="16" width="13.5703125" customWidth="1"/>
    <col min="17" max="17" width="12.85546875" customWidth="1"/>
    <col min="18" max="18" width="13.28515625" customWidth="1"/>
    <col min="19" max="19" width="11.5703125" customWidth="1"/>
    <col min="20" max="20" width="12.5703125" customWidth="1"/>
    <col min="21" max="21" width="11.140625" customWidth="1"/>
    <col min="22" max="22" width="11.5703125" customWidth="1"/>
    <col min="23" max="23" width="12.42578125" customWidth="1"/>
    <col min="24" max="24" width="11.140625" customWidth="1"/>
    <col min="25" max="26" width="12.28515625" customWidth="1"/>
    <col min="27" max="27" width="11.42578125" customWidth="1"/>
    <col min="28" max="28" width="12.140625" customWidth="1"/>
    <col min="242" max="242" width="61.85546875" customWidth="1"/>
    <col min="243" max="243" width="17.85546875" customWidth="1"/>
    <col min="244" max="244" width="16.42578125" customWidth="1"/>
    <col min="245" max="247" width="15.42578125" bestFit="1" customWidth="1"/>
    <col min="248" max="248" width="16.42578125" bestFit="1" customWidth="1"/>
    <col min="249" max="251" width="15.42578125" bestFit="1" customWidth="1"/>
    <col min="252" max="252" width="16.42578125" bestFit="1" customWidth="1"/>
    <col min="253" max="255" width="15.42578125" bestFit="1" customWidth="1"/>
    <col min="256" max="256" width="16.42578125" bestFit="1" customWidth="1"/>
    <col min="257" max="259" width="15.42578125" bestFit="1" customWidth="1"/>
    <col min="260" max="260" width="16.42578125" bestFit="1" customWidth="1"/>
    <col min="261" max="263" width="15.42578125" bestFit="1" customWidth="1"/>
    <col min="264" max="264" width="16.42578125" bestFit="1" customWidth="1"/>
    <col min="265" max="265" width="15.42578125" bestFit="1" customWidth="1"/>
    <col min="267" max="267" width="9.7109375" bestFit="1" customWidth="1"/>
    <col min="498" max="498" width="61.85546875" customWidth="1"/>
    <col min="499" max="499" width="17.85546875" customWidth="1"/>
    <col min="500" max="500" width="16.42578125" customWidth="1"/>
    <col min="501" max="503" width="15.42578125" bestFit="1" customWidth="1"/>
    <col min="504" max="504" width="16.42578125" bestFit="1" customWidth="1"/>
    <col min="505" max="507" width="15.42578125" bestFit="1" customWidth="1"/>
    <col min="508" max="508" width="16.42578125" bestFit="1" customWidth="1"/>
    <col min="509" max="511" width="15.42578125" bestFit="1" customWidth="1"/>
    <col min="512" max="512" width="16.42578125" bestFit="1" customWidth="1"/>
    <col min="513" max="515" width="15.42578125" bestFit="1" customWidth="1"/>
    <col min="516" max="516" width="16.42578125" bestFit="1" customWidth="1"/>
    <col min="517" max="519" width="15.42578125" bestFit="1" customWidth="1"/>
    <col min="520" max="520" width="16.42578125" bestFit="1" customWidth="1"/>
    <col min="521" max="521" width="15.42578125" bestFit="1" customWidth="1"/>
    <col min="523" max="523" width="9.7109375" bestFit="1" customWidth="1"/>
    <col min="754" max="754" width="61.85546875" customWidth="1"/>
    <col min="755" max="755" width="17.85546875" customWidth="1"/>
    <col min="756" max="756" width="16.42578125" customWidth="1"/>
    <col min="757" max="759" width="15.42578125" bestFit="1" customWidth="1"/>
    <col min="760" max="760" width="16.42578125" bestFit="1" customWidth="1"/>
    <col min="761" max="763" width="15.42578125" bestFit="1" customWidth="1"/>
    <col min="764" max="764" width="16.42578125" bestFit="1" customWidth="1"/>
    <col min="765" max="767" width="15.42578125" bestFit="1" customWidth="1"/>
    <col min="768" max="768" width="16.42578125" bestFit="1" customWidth="1"/>
    <col min="769" max="771" width="15.42578125" bestFit="1" customWidth="1"/>
    <col min="772" max="772" width="16.42578125" bestFit="1" customWidth="1"/>
    <col min="773" max="775" width="15.42578125" bestFit="1" customWidth="1"/>
    <col min="776" max="776" width="16.42578125" bestFit="1" customWidth="1"/>
    <col min="777" max="777" width="15.42578125" bestFit="1" customWidth="1"/>
    <col min="779" max="779" width="9.7109375" bestFit="1" customWidth="1"/>
    <col min="1010" max="1010" width="61.85546875" customWidth="1"/>
    <col min="1011" max="1011" width="17.85546875" customWidth="1"/>
    <col min="1012" max="1012" width="16.42578125" customWidth="1"/>
    <col min="1013" max="1015" width="15.42578125" bestFit="1" customWidth="1"/>
    <col min="1016" max="1016" width="16.42578125" bestFit="1" customWidth="1"/>
    <col min="1017" max="1019" width="15.42578125" bestFit="1" customWidth="1"/>
    <col min="1020" max="1020" width="16.42578125" bestFit="1" customWidth="1"/>
    <col min="1021" max="1023" width="15.42578125" bestFit="1" customWidth="1"/>
    <col min="1024" max="1024" width="16.42578125" bestFit="1" customWidth="1"/>
    <col min="1025" max="1027" width="15.42578125" bestFit="1" customWidth="1"/>
    <col min="1028" max="1028" width="16.42578125" bestFit="1" customWidth="1"/>
    <col min="1029" max="1031" width="15.42578125" bestFit="1" customWidth="1"/>
    <col min="1032" max="1032" width="16.42578125" bestFit="1" customWidth="1"/>
    <col min="1033" max="1033" width="15.42578125" bestFit="1" customWidth="1"/>
    <col min="1035" max="1035" width="9.7109375" bestFit="1" customWidth="1"/>
    <col min="1266" max="1266" width="61.85546875" customWidth="1"/>
    <col min="1267" max="1267" width="17.85546875" customWidth="1"/>
    <col min="1268" max="1268" width="16.42578125" customWidth="1"/>
    <col min="1269" max="1271" width="15.42578125" bestFit="1" customWidth="1"/>
    <col min="1272" max="1272" width="16.42578125" bestFit="1" customWidth="1"/>
    <col min="1273" max="1275" width="15.42578125" bestFit="1" customWidth="1"/>
    <col min="1276" max="1276" width="16.42578125" bestFit="1" customWidth="1"/>
    <col min="1277" max="1279" width="15.42578125" bestFit="1" customWidth="1"/>
    <col min="1280" max="1280" width="16.42578125" bestFit="1" customWidth="1"/>
    <col min="1281" max="1283" width="15.42578125" bestFit="1" customWidth="1"/>
    <col min="1284" max="1284" width="16.42578125" bestFit="1" customWidth="1"/>
    <col min="1285" max="1287" width="15.42578125" bestFit="1" customWidth="1"/>
    <col min="1288" max="1288" width="16.42578125" bestFit="1" customWidth="1"/>
    <col min="1289" max="1289" width="15.42578125" bestFit="1" customWidth="1"/>
    <col min="1291" max="1291" width="9.7109375" bestFit="1" customWidth="1"/>
    <col min="1522" max="1522" width="61.85546875" customWidth="1"/>
    <col min="1523" max="1523" width="17.85546875" customWidth="1"/>
    <col min="1524" max="1524" width="16.42578125" customWidth="1"/>
    <col min="1525" max="1527" width="15.42578125" bestFit="1" customWidth="1"/>
    <col min="1528" max="1528" width="16.42578125" bestFit="1" customWidth="1"/>
    <col min="1529" max="1531" width="15.42578125" bestFit="1" customWidth="1"/>
    <col min="1532" max="1532" width="16.42578125" bestFit="1" customWidth="1"/>
    <col min="1533" max="1535" width="15.42578125" bestFit="1" customWidth="1"/>
    <col min="1536" max="1536" width="16.42578125" bestFit="1" customWidth="1"/>
    <col min="1537" max="1539" width="15.42578125" bestFit="1" customWidth="1"/>
    <col min="1540" max="1540" width="16.42578125" bestFit="1" customWidth="1"/>
    <col min="1541" max="1543" width="15.42578125" bestFit="1" customWidth="1"/>
    <col min="1544" max="1544" width="16.42578125" bestFit="1" customWidth="1"/>
    <col min="1545" max="1545" width="15.42578125" bestFit="1" customWidth="1"/>
    <col min="1547" max="1547" width="9.7109375" bestFit="1" customWidth="1"/>
    <col min="1778" max="1778" width="61.85546875" customWidth="1"/>
    <col min="1779" max="1779" width="17.85546875" customWidth="1"/>
    <col min="1780" max="1780" width="16.42578125" customWidth="1"/>
    <col min="1781" max="1783" width="15.42578125" bestFit="1" customWidth="1"/>
    <col min="1784" max="1784" width="16.42578125" bestFit="1" customWidth="1"/>
    <col min="1785" max="1787" width="15.42578125" bestFit="1" customWidth="1"/>
    <col min="1788" max="1788" width="16.42578125" bestFit="1" customWidth="1"/>
    <col min="1789" max="1791" width="15.42578125" bestFit="1" customWidth="1"/>
    <col min="1792" max="1792" width="16.42578125" bestFit="1" customWidth="1"/>
    <col min="1793" max="1795" width="15.42578125" bestFit="1" customWidth="1"/>
    <col min="1796" max="1796" width="16.42578125" bestFit="1" customWidth="1"/>
    <col min="1797" max="1799" width="15.42578125" bestFit="1" customWidth="1"/>
    <col min="1800" max="1800" width="16.42578125" bestFit="1" customWidth="1"/>
    <col min="1801" max="1801" width="15.42578125" bestFit="1" customWidth="1"/>
    <col min="1803" max="1803" width="9.7109375" bestFit="1" customWidth="1"/>
    <col min="2034" max="2034" width="61.85546875" customWidth="1"/>
    <col min="2035" max="2035" width="17.85546875" customWidth="1"/>
    <col min="2036" max="2036" width="16.42578125" customWidth="1"/>
    <col min="2037" max="2039" width="15.42578125" bestFit="1" customWidth="1"/>
    <col min="2040" max="2040" width="16.42578125" bestFit="1" customWidth="1"/>
    <col min="2041" max="2043" width="15.42578125" bestFit="1" customWidth="1"/>
    <col min="2044" max="2044" width="16.42578125" bestFit="1" customWidth="1"/>
    <col min="2045" max="2047" width="15.42578125" bestFit="1" customWidth="1"/>
    <col min="2048" max="2048" width="16.42578125" bestFit="1" customWidth="1"/>
    <col min="2049" max="2051" width="15.42578125" bestFit="1" customWidth="1"/>
    <col min="2052" max="2052" width="16.42578125" bestFit="1" customWidth="1"/>
    <col min="2053" max="2055" width="15.42578125" bestFit="1" customWidth="1"/>
    <col min="2056" max="2056" width="16.42578125" bestFit="1" customWidth="1"/>
    <col min="2057" max="2057" width="15.42578125" bestFit="1" customWidth="1"/>
    <col min="2059" max="2059" width="9.7109375" bestFit="1" customWidth="1"/>
    <col min="2290" max="2290" width="61.85546875" customWidth="1"/>
    <col min="2291" max="2291" width="17.85546875" customWidth="1"/>
    <col min="2292" max="2292" width="16.42578125" customWidth="1"/>
    <col min="2293" max="2295" width="15.42578125" bestFit="1" customWidth="1"/>
    <col min="2296" max="2296" width="16.42578125" bestFit="1" customWidth="1"/>
    <col min="2297" max="2299" width="15.42578125" bestFit="1" customWidth="1"/>
    <col min="2300" max="2300" width="16.42578125" bestFit="1" customWidth="1"/>
    <col min="2301" max="2303" width="15.42578125" bestFit="1" customWidth="1"/>
    <col min="2304" max="2304" width="16.42578125" bestFit="1" customWidth="1"/>
    <col min="2305" max="2307" width="15.42578125" bestFit="1" customWidth="1"/>
    <col min="2308" max="2308" width="16.42578125" bestFit="1" customWidth="1"/>
    <col min="2309" max="2311" width="15.42578125" bestFit="1" customWidth="1"/>
    <col min="2312" max="2312" width="16.42578125" bestFit="1" customWidth="1"/>
    <col min="2313" max="2313" width="15.42578125" bestFit="1" customWidth="1"/>
    <col min="2315" max="2315" width="9.7109375" bestFit="1" customWidth="1"/>
    <col min="2546" max="2546" width="61.85546875" customWidth="1"/>
    <col min="2547" max="2547" width="17.85546875" customWidth="1"/>
    <col min="2548" max="2548" width="16.42578125" customWidth="1"/>
    <col min="2549" max="2551" width="15.42578125" bestFit="1" customWidth="1"/>
    <col min="2552" max="2552" width="16.42578125" bestFit="1" customWidth="1"/>
    <col min="2553" max="2555" width="15.42578125" bestFit="1" customWidth="1"/>
    <col min="2556" max="2556" width="16.42578125" bestFit="1" customWidth="1"/>
    <col min="2557" max="2559" width="15.42578125" bestFit="1" customWidth="1"/>
    <col min="2560" max="2560" width="16.42578125" bestFit="1" customWidth="1"/>
    <col min="2561" max="2563" width="15.42578125" bestFit="1" customWidth="1"/>
    <col min="2564" max="2564" width="16.42578125" bestFit="1" customWidth="1"/>
    <col min="2565" max="2567" width="15.42578125" bestFit="1" customWidth="1"/>
    <col min="2568" max="2568" width="16.42578125" bestFit="1" customWidth="1"/>
    <col min="2569" max="2569" width="15.42578125" bestFit="1" customWidth="1"/>
    <col min="2571" max="2571" width="9.7109375" bestFit="1" customWidth="1"/>
    <col min="2802" max="2802" width="61.85546875" customWidth="1"/>
    <col min="2803" max="2803" width="17.85546875" customWidth="1"/>
    <col min="2804" max="2804" width="16.42578125" customWidth="1"/>
    <col min="2805" max="2807" width="15.42578125" bestFit="1" customWidth="1"/>
    <col min="2808" max="2808" width="16.42578125" bestFit="1" customWidth="1"/>
    <col min="2809" max="2811" width="15.42578125" bestFit="1" customWidth="1"/>
    <col min="2812" max="2812" width="16.42578125" bestFit="1" customWidth="1"/>
    <col min="2813" max="2815" width="15.42578125" bestFit="1" customWidth="1"/>
    <col min="2816" max="2816" width="16.42578125" bestFit="1" customWidth="1"/>
    <col min="2817" max="2819" width="15.42578125" bestFit="1" customWidth="1"/>
    <col min="2820" max="2820" width="16.42578125" bestFit="1" customWidth="1"/>
    <col min="2821" max="2823" width="15.42578125" bestFit="1" customWidth="1"/>
    <col min="2824" max="2824" width="16.42578125" bestFit="1" customWidth="1"/>
    <col min="2825" max="2825" width="15.42578125" bestFit="1" customWidth="1"/>
    <col min="2827" max="2827" width="9.7109375" bestFit="1" customWidth="1"/>
    <col min="3058" max="3058" width="61.85546875" customWidth="1"/>
    <col min="3059" max="3059" width="17.85546875" customWidth="1"/>
    <col min="3060" max="3060" width="16.42578125" customWidth="1"/>
    <col min="3061" max="3063" width="15.42578125" bestFit="1" customWidth="1"/>
    <col min="3064" max="3064" width="16.42578125" bestFit="1" customWidth="1"/>
    <col min="3065" max="3067" width="15.42578125" bestFit="1" customWidth="1"/>
    <col min="3068" max="3068" width="16.42578125" bestFit="1" customWidth="1"/>
    <col min="3069" max="3071" width="15.42578125" bestFit="1" customWidth="1"/>
    <col min="3072" max="3072" width="16.42578125" bestFit="1" customWidth="1"/>
    <col min="3073" max="3075" width="15.42578125" bestFit="1" customWidth="1"/>
    <col min="3076" max="3076" width="16.42578125" bestFit="1" customWidth="1"/>
    <col min="3077" max="3079" width="15.42578125" bestFit="1" customWidth="1"/>
    <col min="3080" max="3080" width="16.42578125" bestFit="1" customWidth="1"/>
    <col min="3081" max="3081" width="15.42578125" bestFit="1" customWidth="1"/>
    <col min="3083" max="3083" width="9.7109375" bestFit="1" customWidth="1"/>
    <col min="3314" max="3314" width="61.85546875" customWidth="1"/>
    <col min="3315" max="3315" width="17.85546875" customWidth="1"/>
    <col min="3316" max="3316" width="16.42578125" customWidth="1"/>
    <col min="3317" max="3319" width="15.42578125" bestFit="1" customWidth="1"/>
    <col min="3320" max="3320" width="16.42578125" bestFit="1" customWidth="1"/>
    <col min="3321" max="3323" width="15.42578125" bestFit="1" customWidth="1"/>
    <col min="3324" max="3324" width="16.42578125" bestFit="1" customWidth="1"/>
    <col min="3325" max="3327" width="15.42578125" bestFit="1" customWidth="1"/>
    <col min="3328" max="3328" width="16.42578125" bestFit="1" customWidth="1"/>
    <col min="3329" max="3331" width="15.42578125" bestFit="1" customWidth="1"/>
    <col min="3332" max="3332" width="16.42578125" bestFit="1" customWidth="1"/>
    <col min="3333" max="3335" width="15.42578125" bestFit="1" customWidth="1"/>
    <col min="3336" max="3336" width="16.42578125" bestFit="1" customWidth="1"/>
    <col min="3337" max="3337" width="15.42578125" bestFit="1" customWidth="1"/>
    <col min="3339" max="3339" width="9.7109375" bestFit="1" customWidth="1"/>
    <col min="3570" max="3570" width="61.85546875" customWidth="1"/>
    <col min="3571" max="3571" width="17.85546875" customWidth="1"/>
    <col min="3572" max="3572" width="16.42578125" customWidth="1"/>
    <col min="3573" max="3575" width="15.42578125" bestFit="1" customWidth="1"/>
    <col min="3576" max="3576" width="16.42578125" bestFit="1" customWidth="1"/>
    <col min="3577" max="3579" width="15.42578125" bestFit="1" customWidth="1"/>
    <col min="3580" max="3580" width="16.42578125" bestFit="1" customWidth="1"/>
    <col min="3581" max="3583" width="15.42578125" bestFit="1" customWidth="1"/>
    <col min="3584" max="3584" width="16.42578125" bestFit="1" customWidth="1"/>
    <col min="3585" max="3587" width="15.42578125" bestFit="1" customWidth="1"/>
    <col min="3588" max="3588" width="16.42578125" bestFit="1" customWidth="1"/>
    <col min="3589" max="3591" width="15.42578125" bestFit="1" customWidth="1"/>
    <col min="3592" max="3592" width="16.42578125" bestFit="1" customWidth="1"/>
    <col min="3593" max="3593" width="15.42578125" bestFit="1" customWidth="1"/>
    <col min="3595" max="3595" width="9.7109375" bestFit="1" customWidth="1"/>
    <col min="3826" max="3826" width="61.85546875" customWidth="1"/>
    <col min="3827" max="3827" width="17.85546875" customWidth="1"/>
    <col min="3828" max="3828" width="16.42578125" customWidth="1"/>
    <col min="3829" max="3831" width="15.42578125" bestFit="1" customWidth="1"/>
    <col min="3832" max="3832" width="16.42578125" bestFit="1" customWidth="1"/>
    <col min="3833" max="3835" width="15.42578125" bestFit="1" customWidth="1"/>
    <col min="3836" max="3836" width="16.42578125" bestFit="1" customWidth="1"/>
    <col min="3837" max="3839" width="15.42578125" bestFit="1" customWidth="1"/>
    <col min="3840" max="3840" width="16.42578125" bestFit="1" customWidth="1"/>
    <col min="3841" max="3843" width="15.42578125" bestFit="1" customWidth="1"/>
    <col min="3844" max="3844" width="16.42578125" bestFit="1" customWidth="1"/>
    <col min="3845" max="3847" width="15.42578125" bestFit="1" customWidth="1"/>
    <col min="3848" max="3848" width="16.42578125" bestFit="1" customWidth="1"/>
    <col min="3849" max="3849" width="15.42578125" bestFit="1" customWidth="1"/>
    <col min="3851" max="3851" width="9.7109375" bestFit="1" customWidth="1"/>
    <col min="4082" max="4082" width="61.85546875" customWidth="1"/>
    <col min="4083" max="4083" width="17.85546875" customWidth="1"/>
    <col min="4084" max="4084" width="16.42578125" customWidth="1"/>
    <col min="4085" max="4087" width="15.42578125" bestFit="1" customWidth="1"/>
    <col min="4088" max="4088" width="16.42578125" bestFit="1" customWidth="1"/>
    <col min="4089" max="4091" width="15.42578125" bestFit="1" customWidth="1"/>
    <col min="4092" max="4092" width="16.42578125" bestFit="1" customWidth="1"/>
    <col min="4093" max="4095" width="15.42578125" bestFit="1" customWidth="1"/>
    <col min="4096" max="4096" width="16.42578125" bestFit="1" customWidth="1"/>
    <col min="4097" max="4099" width="15.42578125" bestFit="1" customWidth="1"/>
    <col min="4100" max="4100" width="16.42578125" bestFit="1" customWidth="1"/>
    <col min="4101" max="4103" width="15.42578125" bestFit="1" customWidth="1"/>
    <col min="4104" max="4104" width="16.42578125" bestFit="1" customWidth="1"/>
    <col min="4105" max="4105" width="15.42578125" bestFit="1" customWidth="1"/>
    <col min="4107" max="4107" width="9.7109375" bestFit="1" customWidth="1"/>
    <col min="4338" max="4338" width="61.85546875" customWidth="1"/>
    <col min="4339" max="4339" width="17.85546875" customWidth="1"/>
    <col min="4340" max="4340" width="16.42578125" customWidth="1"/>
    <col min="4341" max="4343" width="15.42578125" bestFit="1" customWidth="1"/>
    <col min="4344" max="4344" width="16.42578125" bestFit="1" customWidth="1"/>
    <col min="4345" max="4347" width="15.42578125" bestFit="1" customWidth="1"/>
    <col min="4348" max="4348" width="16.42578125" bestFit="1" customWidth="1"/>
    <col min="4349" max="4351" width="15.42578125" bestFit="1" customWidth="1"/>
    <col min="4352" max="4352" width="16.42578125" bestFit="1" customWidth="1"/>
    <col min="4353" max="4355" width="15.42578125" bestFit="1" customWidth="1"/>
    <col min="4356" max="4356" width="16.42578125" bestFit="1" customWidth="1"/>
    <col min="4357" max="4359" width="15.42578125" bestFit="1" customWidth="1"/>
    <col min="4360" max="4360" width="16.42578125" bestFit="1" customWidth="1"/>
    <col min="4361" max="4361" width="15.42578125" bestFit="1" customWidth="1"/>
    <col min="4363" max="4363" width="9.7109375" bestFit="1" customWidth="1"/>
    <col min="4594" max="4594" width="61.85546875" customWidth="1"/>
    <col min="4595" max="4595" width="17.85546875" customWidth="1"/>
    <col min="4596" max="4596" width="16.42578125" customWidth="1"/>
    <col min="4597" max="4599" width="15.42578125" bestFit="1" customWidth="1"/>
    <col min="4600" max="4600" width="16.42578125" bestFit="1" customWidth="1"/>
    <col min="4601" max="4603" width="15.42578125" bestFit="1" customWidth="1"/>
    <col min="4604" max="4604" width="16.42578125" bestFit="1" customWidth="1"/>
    <col min="4605" max="4607" width="15.42578125" bestFit="1" customWidth="1"/>
    <col min="4608" max="4608" width="16.42578125" bestFit="1" customWidth="1"/>
    <col min="4609" max="4611" width="15.42578125" bestFit="1" customWidth="1"/>
    <col min="4612" max="4612" width="16.42578125" bestFit="1" customWidth="1"/>
    <col min="4613" max="4615" width="15.42578125" bestFit="1" customWidth="1"/>
    <col min="4616" max="4616" width="16.42578125" bestFit="1" customWidth="1"/>
    <col min="4617" max="4617" width="15.42578125" bestFit="1" customWidth="1"/>
    <col min="4619" max="4619" width="9.7109375" bestFit="1" customWidth="1"/>
    <col min="4850" max="4850" width="61.85546875" customWidth="1"/>
    <col min="4851" max="4851" width="17.85546875" customWidth="1"/>
    <col min="4852" max="4852" width="16.42578125" customWidth="1"/>
    <col min="4853" max="4855" width="15.42578125" bestFit="1" customWidth="1"/>
    <col min="4856" max="4856" width="16.42578125" bestFit="1" customWidth="1"/>
    <col min="4857" max="4859" width="15.42578125" bestFit="1" customWidth="1"/>
    <col min="4860" max="4860" width="16.42578125" bestFit="1" customWidth="1"/>
    <col min="4861" max="4863" width="15.42578125" bestFit="1" customWidth="1"/>
    <col min="4864" max="4864" width="16.42578125" bestFit="1" customWidth="1"/>
    <col min="4865" max="4867" width="15.42578125" bestFit="1" customWidth="1"/>
    <col min="4868" max="4868" width="16.42578125" bestFit="1" customWidth="1"/>
    <col min="4869" max="4871" width="15.42578125" bestFit="1" customWidth="1"/>
    <col min="4872" max="4872" width="16.42578125" bestFit="1" customWidth="1"/>
    <col min="4873" max="4873" width="15.42578125" bestFit="1" customWidth="1"/>
    <col min="4875" max="4875" width="9.7109375" bestFit="1" customWidth="1"/>
    <col min="5106" max="5106" width="61.85546875" customWidth="1"/>
    <col min="5107" max="5107" width="17.85546875" customWidth="1"/>
    <col min="5108" max="5108" width="16.42578125" customWidth="1"/>
    <col min="5109" max="5111" width="15.42578125" bestFit="1" customWidth="1"/>
    <col min="5112" max="5112" width="16.42578125" bestFit="1" customWidth="1"/>
    <col min="5113" max="5115" width="15.42578125" bestFit="1" customWidth="1"/>
    <col min="5116" max="5116" width="16.42578125" bestFit="1" customWidth="1"/>
    <col min="5117" max="5119" width="15.42578125" bestFit="1" customWidth="1"/>
    <col min="5120" max="5120" width="16.42578125" bestFit="1" customWidth="1"/>
    <col min="5121" max="5123" width="15.42578125" bestFit="1" customWidth="1"/>
    <col min="5124" max="5124" width="16.42578125" bestFit="1" customWidth="1"/>
    <col min="5125" max="5127" width="15.42578125" bestFit="1" customWidth="1"/>
    <col min="5128" max="5128" width="16.42578125" bestFit="1" customWidth="1"/>
    <col min="5129" max="5129" width="15.42578125" bestFit="1" customWidth="1"/>
    <col min="5131" max="5131" width="9.7109375" bestFit="1" customWidth="1"/>
    <col min="5362" max="5362" width="61.85546875" customWidth="1"/>
    <col min="5363" max="5363" width="17.85546875" customWidth="1"/>
    <col min="5364" max="5364" width="16.42578125" customWidth="1"/>
    <col min="5365" max="5367" width="15.42578125" bestFit="1" customWidth="1"/>
    <col min="5368" max="5368" width="16.42578125" bestFit="1" customWidth="1"/>
    <col min="5369" max="5371" width="15.42578125" bestFit="1" customWidth="1"/>
    <col min="5372" max="5372" width="16.42578125" bestFit="1" customWidth="1"/>
    <col min="5373" max="5375" width="15.42578125" bestFit="1" customWidth="1"/>
    <col min="5376" max="5376" width="16.42578125" bestFit="1" customWidth="1"/>
    <col min="5377" max="5379" width="15.42578125" bestFit="1" customWidth="1"/>
    <col min="5380" max="5380" width="16.42578125" bestFit="1" customWidth="1"/>
    <col min="5381" max="5383" width="15.42578125" bestFit="1" customWidth="1"/>
    <col min="5384" max="5384" width="16.42578125" bestFit="1" customWidth="1"/>
    <col min="5385" max="5385" width="15.42578125" bestFit="1" customWidth="1"/>
    <col min="5387" max="5387" width="9.7109375" bestFit="1" customWidth="1"/>
    <col min="5618" max="5618" width="61.85546875" customWidth="1"/>
    <col min="5619" max="5619" width="17.85546875" customWidth="1"/>
    <col min="5620" max="5620" width="16.42578125" customWidth="1"/>
    <col min="5621" max="5623" width="15.42578125" bestFit="1" customWidth="1"/>
    <col min="5624" max="5624" width="16.42578125" bestFit="1" customWidth="1"/>
    <col min="5625" max="5627" width="15.42578125" bestFit="1" customWidth="1"/>
    <col min="5628" max="5628" width="16.42578125" bestFit="1" customWidth="1"/>
    <col min="5629" max="5631" width="15.42578125" bestFit="1" customWidth="1"/>
    <col min="5632" max="5632" width="16.42578125" bestFit="1" customWidth="1"/>
    <col min="5633" max="5635" width="15.42578125" bestFit="1" customWidth="1"/>
    <col min="5636" max="5636" width="16.42578125" bestFit="1" customWidth="1"/>
    <col min="5637" max="5639" width="15.42578125" bestFit="1" customWidth="1"/>
    <col min="5640" max="5640" width="16.42578125" bestFit="1" customWidth="1"/>
    <col min="5641" max="5641" width="15.42578125" bestFit="1" customWidth="1"/>
    <col min="5643" max="5643" width="9.7109375" bestFit="1" customWidth="1"/>
    <col min="5874" max="5874" width="61.85546875" customWidth="1"/>
    <col min="5875" max="5875" width="17.85546875" customWidth="1"/>
    <col min="5876" max="5876" width="16.42578125" customWidth="1"/>
    <col min="5877" max="5879" width="15.42578125" bestFit="1" customWidth="1"/>
    <col min="5880" max="5880" width="16.42578125" bestFit="1" customWidth="1"/>
    <col min="5881" max="5883" width="15.42578125" bestFit="1" customWidth="1"/>
    <col min="5884" max="5884" width="16.42578125" bestFit="1" customWidth="1"/>
    <col min="5885" max="5887" width="15.42578125" bestFit="1" customWidth="1"/>
    <col min="5888" max="5888" width="16.42578125" bestFit="1" customWidth="1"/>
    <col min="5889" max="5891" width="15.42578125" bestFit="1" customWidth="1"/>
    <col min="5892" max="5892" width="16.42578125" bestFit="1" customWidth="1"/>
    <col min="5893" max="5895" width="15.42578125" bestFit="1" customWidth="1"/>
    <col min="5896" max="5896" width="16.42578125" bestFit="1" customWidth="1"/>
    <col min="5897" max="5897" width="15.42578125" bestFit="1" customWidth="1"/>
    <col min="5899" max="5899" width="9.7109375" bestFit="1" customWidth="1"/>
    <col min="6130" max="6130" width="61.85546875" customWidth="1"/>
    <col min="6131" max="6131" width="17.85546875" customWidth="1"/>
    <col min="6132" max="6132" width="16.42578125" customWidth="1"/>
    <col min="6133" max="6135" width="15.42578125" bestFit="1" customWidth="1"/>
    <col min="6136" max="6136" width="16.42578125" bestFit="1" customWidth="1"/>
    <col min="6137" max="6139" width="15.42578125" bestFit="1" customWidth="1"/>
    <col min="6140" max="6140" width="16.42578125" bestFit="1" customWidth="1"/>
    <col min="6141" max="6143" width="15.42578125" bestFit="1" customWidth="1"/>
    <col min="6144" max="6144" width="16.42578125" bestFit="1" customWidth="1"/>
    <col min="6145" max="6147" width="15.42578125" bestFit="1" customWidth="1"/>
    <col min="6148" max="6148" width="16.42578125" bestFit="1" customWidth="1"/>
    <col min="6149" max="6151" width="15.42578125" bestFit="1" customWidth="1"/>
    <col min="6152" max="6152" width="16.42578125" bestFit="1" customWidth="1"/>
    <col min="6153" max="6153" width="15.42578125" bestFit="1" customWidth="1"/>
    <col min="6155" max="6155" width="9.7109375" bestFit="1" customWidth="1"/>
    <col min="6386" max="6386" width="61.85546875" customWidth="1"/>
    <col min="6387" max="6387" width="17.85546875" customWidth="1"/>
    <col min="6388" max="6388" width="16.42578125" customWidth="1"/>
    <col min="6389" max="6391" width="15.42578125" bestFit="1" customWidth="1"/>
    <col min="6392" max="6392" width="16.42578125" bestFit="1" customWidth="1"/>
    <col min="6393" max="6395" width="15.42578125" bestFit="1" customWidth="1"/>
    <col min="6396" max="6396" width="16.42578125" bestFit="1" customWidth="1"/>
    <col min="6397" max="6399" width="15.42578125" bestFit="1" customWidth="1"/>
    <col min="6400" max="6400" width="16.42578125" bestFit="1" customWidth="1"/>
    <col min="6401" max="6403" width="15.42578125" bestFit="1" customWidth="1"/>
    <col min="6404" max="6404" width="16.42578125" bestFit="1" customWidth="1"/>
    <col min="6405" max="6407" width="15.42578125" bestFit="1" customWidth="1"/>
    <col min="6408" max="6408" width="16.42578125" bestFit="1" customWidth="1"/>
    <col min="6409" max="6409" width="15.42578125" bestFit="1" customWidth="1"/>
    <col min="6411" max="6411" width="9.7109375" bestFit="1" customWidth="1"/>
    <col min="6642" max="6642" width="61.85546875" customWidth="1"/>
    <col min="6643" max="6643" width="17.85546875" customWidth="1"/>
    <col min="6644" max="6644" width="16.42578125" customWidth="1"/>
    <col min="6645" max="6647" width="15.42578125" bestFit="1" customWidth="1"/>
    <col min="6648" max="6648" width="16.42578125" bestFit="1" customWidth="1"/>
    <col min="6649" max="6651" width="15.42578125" bestFit="1" customWidth="1"/>
    <col min="6652" max="6652" width="16.42578125" bestFit="1" customWidth="1"/>
    <col min="6653" max="6655" width="15.42578125" bestFit="1" customWidth="1"/>
    <col min="6656" max="6656" width="16.42578125" bestFit="1" customWidth="1"/>
    <col min="6657" max="6659" width="15.42578125" bestFit="1" customWidth="1"/>
    <col min="6660" max="6660" width="16.42578125" bestFit="1" customWidth="1"/>
    <col min="6661" max="6663" width="15.42578125" bestFit="1" customWidth="1"/>
    <col min="6664" max="6664" width="16.42578125" bestFit="1" customWidth="1"/>
    <col min="6665" max="6665" width="15.42578125" bestFit="1" customWidth="1"/>
    <col min="6667" max="6667" width="9.7109375" bestFit="1" customWidth="1"/>
    <col min="6898" max="6898" width="61.85546875" customWidth="1"/>
    <col min="6899" max="6899" width="17.85546875" customWidth="1"/>
    <col min="6900" max="6900" width="16.42578125" customWidth="1"/>
    <col min="6901" max="6903" width="15.42578125" bestFit="1" customWidth="1"/>
    <col min="6904" max="6904" width="16.42578125" bestFit="1" customWidth="1"/>
    <col min="6905" max="6907" width="15.42578125" bestFit="1" customWidth="1"/>
    <col min="6908" max="6908" width="16.42578125" bestFit="1" customWidth="1"/>
    <col min="6909" max="6911" width="15.42578125" bestFit="1" customWidth="1"/>
    <col min="6912" max="6912" width="16.42578125" bestFit="1" customWidth="1"/>
    <col min="6913" max="6915" width="15.42578125" bestFit="1" customWidth="1"/>
    <col min="6916" max="6916" width="16.42578125" bestFit="1" customWidth="1"/>
    <col min="6917" max="6919" width="15.42578125" bestFit="1" customWidth="1"/>
    <col min="6920" max="6920" width="16.42578125" bestFit="1" customWidth="1"/>
    <col min="6921" max="6921" width="15.42578125" bestFit="1" customWidth="1"/>
    <col min="6923" max="6923" width="9.7109375" bestFit="1" customWidth="1"/>
    <col min="7154" max="7154" width="61.85546875" customWidth="1"/>
    <col min="7155" max="7155" width="17.85546875" customWidth="1"/>
    <col min="7156" max="7156" width="16.42578125" customWidth="1"/>
    <col min="7157" max="7159" width="15.42578125" bestFit="1" customWidth="1"/>
    <col min="7160" max="7160" width="16.42578125" bestFit="1" customWidth="1"/>
    <col min="7161" max="7163" width="15.42578125" bestFit="1" customWidth="1"/>
    <col min="7164" max="7164" width="16.42578125" bestFit="1" customWidth="1"/>
    <col min="7165" max="7167" width="15.42578125" bestFit="1" customWidth="1"/>
    <col min="7168" max="7168" width="16.42578125" bestFit="1" customWidth="1"/>
    <col min="7169" max="7171" width="15.42578125" bestFit="1" customWidth="1"/>
    <col min="7172" max="7172" width="16.42578125" bestFit="1" customWidth="1"/>
    <col min="7173" max="7175" width="15.42578125" bestFit="1" customWidth="1"/>
    <col min="7176" max="7176" width="16.42578125" bestFit="1" customWidth="1"/>
    <col min="7177" max="7177" width="15.42578125" bestFit="1" customWidth="1"/>
    <col min="7179" max="7179" width="9.7109375" bestFit="1" customWidth="1"/>
    <col min="7410" max="7410" width="61.85546875" customWidth="1"/>
    <col min="7411" max="7411" width="17.85546875" customWidth="1"/>
    <col min="7412" max="7412" width="16.42578125" customWidth="1"/>
    <col min="7413" max="7415" width="15.42578125" bestFit="1" customWidth="1"/>
    <col min="7416" max="7416" width="16.42578125" bestFit="1" customWidth="1"/>
    <col min="7417" max="7419" width="15.42578125" bestFit="1" customWidth="1"/>
    <col min="7420" max="7420" width="16.42578125" bestFit="1" customWidth="1"/>
    <col min="7421" max="7423" width="15.42578125" bestFit="1" customWidth="1"/>
    <col min="7424" max="7424" width="16.42578125" bestFit="1" customWidth="1"/>
    <col min="7425" max="7427" width="15.42578125" bestFit="1" customWidth="1"/>
    <col min="7428" max="7428" width="16.42578125" bestFit="1" customWidth="1"/>
    <col min="7429" max="7431" width="15.42578125" bestFit="1" customWidth="1"/>
    <col min="7432" max="7432" width="16.42578125" bestFit="1" customWidth="1"/>
    <col min="7433" max="7433" width="15.42578125" bestFit="1" customWidth="1"/>
    <col min="7435" max="7435" width="9.7109375" bestFit="1" customWidth="1"/>
    <col min="7666" max="7666" width="61.85546875" customWidth="1"/>
    <col min="7667" max="7667" width="17.85546875" customWidth="1"/>
    <col min="7668" max="7668" width="16.42578125" customWidth="1"/>
    <col min="7669" max="7671" width="15.42578125" bestFit="1" customWidth="1"/>
    <col min="7672" max="7672" width="16.42578125" bestFit="1" customWidth="1"/>
    <col min="7673" max="7675" width="15.42578125" bestFit="1" customWidth="1"/>
    <col min="7676" max="7676" width="16.42578125" bestFit="1" customWidth="1"/>
    <col min="7677" max="7679" width="15.42578125" bestFit="1" customWidth="1"/>
    <col min="7680" max="7680" width="16.42578125" bestFit="1" customWidth="1"/>
    <col min="7681" max="7683" width="15.42578125" bestFit="1" customWidth="1"/>
    <col min="7684" max="7684" width="16.42578125" bestFit="1" customWidth="1"/>
    <col min="7685" max="7687" width="15.42578125" bestFit="1" customWidth="1"/>
    <col min="7688" max="7688" width="16.42578125" bestFit="1" customWidth="1"/>
    <col min="7689" max="7689" width="15.42578125" bestFit="1" customWidth="1"/>
    <col min="7691" max="7691" width="9.7109375" bestFit="1" customWidth="1"/>
    <col min="7922" max="7922" width="61.85546875" customWidth="1"/>
    <col min="7923" max="7923" width="17.85546875" customWidth="1"/>
    <col min="7924" max="7924" width="16.42578125" customWidth="1"/>
    <col min="7925" max="7927" width="15.42578125" bestFit="1" customWidth="1"/>
    <col min="7928" max="7928" width="16.42578125" bestFit="1" customWidth="1"/>
    <col min="7929" max="7931" width="15.42578125" bestFit="1" customWidth="1"/>
    <col min="7932" max="7932" width="16.42578125" bestFit="1" customWidth="1"/>
    <col min="7933" max="7935" width="15.42578125" bestFit="1" customWidth="1"/>
    <col min="7936" max="7936" width="16.42578125" bestFit="1" customWidth="1"/>
    <col min="7937" max="7939" width="15.42578125" bestFit="1" customWidth="1"/>
    <col min="7940" max="7940" width="16.42578125" bestFit="1" customWidth="1"/>
    <col min="7941" max="7943" width="15.42578125" bestFit="1" customWidth="1"/>
    <col min="7944" max="7944" width="16.42578125" bestFit="1" customWidth="1"/>
    <col min="7945" max="7945" width="15.42578125" bestFit="1" customWidth="1"/>
    <col min="7947" max="7947" width="9.7109375" bestFit="1" customWidth="1"/>
    <col min="8178" max="8178" width="61.85546875" customWidth="1"/>
    <col min="8179" max="8179" width="17.85546875" customWidth="1"/>
    <col min="8180" max="8180" width="16.42578125" customWidth="1"/>
    <col min="8181" max="8183" width="15.42578125" bestFit="1" customWidth="1"/>
    <col min="8184" max="8184" width="16.42578125" bestFit="1" customWidth="1"/>
    <col min="8185" max="8187" width="15.42578125" bestFit="1" customWidth="1"/>
    <col min="8188" max="8188" width="16.42578125" bestFit="1" customWidth="1"/>
    <col min="8189" max="8191" width="15.42578125" bestFit="1" customWidth="1"/>
    <col min="8192" max="8192" width="16.42578125" bestFit="1" customWidth="1"/>
    <col min="8193" max="8195" width="15.42578125" bestFit="1" customWidth="1"/>
    <col min="8196" max="8196" width="16.42578125" bestFit="1" customWidth="1"/>
    <col min="8197" max="8199" width="15.42578125" bestFit="1" customWidth="1"/>
    <col min="8200" max="8200" width="16.42578125" bestFit="1" customWidth="1"/>
    <col min="8201" max="8201" width="15.42578125" bestFit="1" customWidth="1"/>
    <col min="8203" max="8203" width="9.7109375" bestFit="1" customWidth="1"/>
    <col min="8434" max="8434" width="61.85546875" customWidth="1"/>
    <col min="8435" max="8435" width="17.85546875" customWidth="1"/>
    <col min="8436" max="8436" width="16.42578125" customWidth="1"/>
    <col min="8437" max="8439" width="15.42578125" bestFit="1" customWidth="1"/>
    <col min="8440" max="8440" width="16.42578125" bestFit="1" customWidth="1"/>
    <col min="8441" max="8443" width="15.42578125" bestFit="1" customWidth="1"/>
    <col min="8444" max="8444" width="16.42578125" bestFit="1" customWidth="1"/>
    <col min="8445" max="8447" width="15.42578125" bestFit="1" customWidth="1"/>
    <col min="8448" max="8448" width="16.42578125" bestFit="1" customWidth="1"/>
    <col min="8449" max="8451" width="15.42578125" bestFit="1" customWidth="1"/>
    <col min="8452" max="8452" width="16.42578125" bestFit="1" customWidth="1"/>
    <col min="8453" max="8455" width="15.42578125" bestFit="1" customWidth="1"/>
    <col min="8456" max="8456" width="16.42578125" bestFit="1" customWidth="1"/>
    <col min="8457" max="8457" width="15.42578125" bestFit="1" customWidth="1"/>
    <col min="8459" max="8459" width="9.7109375" bestFit="1" customWidth="1"/>
    <col min="8690" max="8690" width="61.85546875" customWidth="1"/>
    <col min="8691" max="8691" width="17.85546875" customWidth="1"/>
    <col min="8692" max="8692" width="16.42578125" customWidth="1"/>
    <col min="8693" max="8695" width="15.42578125" bestFit="1" customWidth="1"/>
    <col min="8696" max="8696" width="16.42578125" bestFit="1" customWidth="1"/>
    <col min="8697" max="8699" width="15.42578125" bestFit="1" customWidth="1"/>
    <col min="8700" max="8700" width="16.42578125" bestFit="1" customWidth="1"/>
    <col min="8701" max="8703" width="15.42578125" bestFit="1" customWidth="1"/>
    <col min="8704" max="8704" width="16.42578125" bestFit="1" customWidth="1"/>
    <col min="8705" max="8707" width="15.42578125" bestFit="1" customWidth="1"/>
    <col min="8708" max="8708" width="16.42578125" bestFit="1" customWidth="1"/>
    <col min="8709" max="8711" width="15.42578125" bestFit="1" customWidth="1"/>
    <col min="8712" max="8712" width="16.42578125" bestFit="1" customWidth="1"/>
    <col min="8713" max="8713" width="15.42578125" bestFit="1" customWidth="1"/>
    <col min="8715" max="8715" width="9.7109375" bestFit="1" customWidth="1"/>
    <col min="8946" max="8946" width="61.85546875" customWidth="1"/>
    <col min="8947" max="8947" width="17.85546875" customWidth="1"/>
    <col min="8948" max="8948" width="16.42578125" customWidth="1"/>
    <col min="8949" max="8951" width="15.42578125" bestFit="1" customWidth="1"/>
    <col min="8952" max="8952" width="16.42578125" bestFit="1" customWidth="1"/>
    <col min="8953" max="8955" width="15.42578125" bestFit="1" customWidth="1"/>
    <col min="8956" max="8956" width="16.42578125" bestFit="1" customWidth="1"/>
    <col min="8957" max="8959" width="15.42578125" bestFit="1" customWidth="1"/>
    <col min="8960" max="8960" width="16.42578125" bestFit="1" customWidth="1"/>
    <col min="8961" max="8963" width="15.42578125" bestFit="1" customWidth="1"/>
    <col min="8964" max="8964" width="16.42578125" bestFit="1" customWidth="1"/>
    <col min="8965" max="8967" width="15.42578125" bestFit="1" customWidth="1"/>
    <col min="8968" max="8968" width="16.42578125" bestFit="1" customWidth="1"/>
    <col min="8969" max="8969" width="15.42578125" bestFit="1" customWidth="1"/>
    <col min="8971" max="8971" width="9.7109375" bestFit="1" customWidth="1"/>
    <col min="9202" max="9202" width="61.85546875" customWidth="1"/>
    <col min="9203" max="9203" width="17.85546875" customWidth="1"/>
    <col min="9204" max="9204" width="16.42578125" customWidth="1"/>
    <col min="9205" max="9207" width="15.42578125" bestFit="1" customWidth="1"/>
    <col min="9208" max="9208" width="16.42578125" bestFit="1" customWidth="1"/>
    <col min="9209" max="9211" width="15.42578125" bestFit="1" customWidth="1"/>
    <col min="9212" max="9212" width="16.42578125" bestFit="1" customWidth="1"/>
    <col min="9213" max="9215" width="15.42578125" bestFit="1" customWidth="1"/>
    <col min="9216" max="9216" width="16.42578125" bestFit="1" customWidth="1"/>
    <col min="9217" max="9219" width="15.42578125" bestFit="1" customWidth="1"/>
    <col min="9220" max="9220" width="16.42578125" bestFit="1" customWidth="1"/>
    <col min="9221" max="9223" width="15.42578125" bestFit="1" customWidth="1"/>
    <col min="9224" max="9224" width="16.42578125" bestFit="1" customWidth="1"/>
    <col min="9225" max="9225" width="15.42578125" bestFit="1" customWidth="1"/>
    <col min="9227" max="9227" width="9.7109375" bestFit="1" customWidth="1"/>
    <col min="9458" max="9458" width="61.85546875" customWidth="1"/>
    <col min="9459" max="9459" width="17.85546875" customWidth="1"/>
    <col min="9460" max="9460" width="16.42578125" customWidth="1"/>
    <col min="9461" max="9463" width="15.42578125" bestFit="1" customWidth="1"/>
    <col min="9464" max="9464" width="16.42578125" bestFit="1" customWidth="1"/>
    <col min="9465" max="9467" width="15.42578125" bestFit="1" customWidth="1"/>
    <col min="9468" max="9468" width="16.42578125" bestFit="1" customWidth="1"/>
    <col min="9469" max="9471" width="15.42578125" bestFit="1" customWidth="1"/>
    <col min="9472" max="9472" width="16.42578125" bestFit="1" customWidth="1"/>
    <col min="9473" max="9475" width="15.42578125" bestFit="1" customWidth="1"/>
    <col min="9476" max="9476" width="16.42578125" bestFit="1" customWidth="1"/>
    <col min="9477" max="9479" width="15.42578125" bestFit="1" customWidth="1"/>
    <col min="9480" max="9480" width="16.42578125" bestFit="1" customWidth="1"/>
    <col min="9481" max="9481" width="15.42578125" bestFit="1" customWidth="1"/>
    <col min="9483" max="9483" width="9.7109375" bestFit="1" customWidth="1"/>
    <col min="9714" max="9714" width="61.85546875" customWidth="1"/>
    <col min="9715" max="9715" width="17.85546875" customWidth="1"/>
    <col min="9716" max="9716" width="16.42578125" customWidth="1"/>
    <col min="9717" max="9719" width="15.42578125" bestFit="1" customWidth="1"/>
    <col min="9720" max="9720" width="16.42578125" bestFit="1" customWidth="1"/>
    <col min="9721" max="9723" width="15.42578125" bestFit="1" customWidth="1"/>
    <col min="9724" max="9724" width="16.42578125" bestFit="1" customWidth="1"/>
    <col min="9725" max="9727" width="15.42578125" bestFit="1" customWidth="1"/>
    <col min="9728" max="9728" width="16.42578125" bestFit="1" customWidth="1"/>
    <col min="9729" max="9731" width="15.42578125" bestFit="1" customWidth="1"/>
    <col min="9732" max="9732" width="16.42578125" bestFit="1" customWidth="1"/>
    <col min="9733" max="9735" width="15.42578125" bestFit="1" customWidth="1"/>
    <col min="9736" max="9736" width="16.42578125" bestFit="1" customWidth="1"/>
    <col min="9737" max="9737" width="15.42578125" bestFit="1" customWidth="1"/>
    <col min="9739" max="9739" width="9.7109375" bestFit="1" customWidth="1"/>
    <col min="9970" max="9970" width="61.85546875" customWidth="1"/>
    <col min="9971" max="9971" width="17.85546875" customWidth="1"/>
    <col min="9972" max="9972" width="16.42578125" customWidth="1"/>
    <col min="9973" max="9975" width="15.42578125" bestFit="1" customWidth="1"/>
    <col min="9976" max="9976" width="16.42578125" bestFit="1" customWidth="1"/>
    <col min="9977" max="9979" width="15.42578125" bestFit="1" customWidth="1"/>
    <col min="9980" max="9980" width="16.42578125" bestFit="1" customWidth="1"/>
    <col min="9981" max="9983" width="15.42578125" bestFit="1" customWidth="1"/>
    <col min="9984" max="9984" width="16.42578125" bestFit="1" customWidth="1"/>
    <col min="9985" max="9987" width="15.42578125" bestFit="1" customWidth="1"/>
    <col min="9988" max="9988" width="16.42578125" bestFit="1" customWidth="1"/>
    <col min="9989" max="9991" width="15.42578125" bestFit="1" customWidth="1"/>
    <col min="9992" max="9992" width="16.42578125" bestFit="1" customWidth="1"/>
    <col min="9993" max="9993" width="15.42578125" bestFit="1" customWidth="1"/>
    <col min="9995" max="9995" width="9.7109375" bestFit="1" customWidth="1"/>
    <col min="10226" max="10226" width="61.85546875" customWidth="1"/>
    <col min="10227" max="10227" width="17.85546875" customWidth="1"/>
    <col min="10228" max="10228" width="16.42578125" customWidth="1"/>
    <col min="10229" max="10231" width="15.42578125" bestFit="1" customWidth="1"/>
    <col min="10232" max="10232" width="16.42578125" bestFit="1" customWidth="1"/>
    <col min="10233" max="10235" width="15.42578125" bestFit="1" customWidth="1"/>
    <col min="10236" max="10236" width="16.42578125" bestFit="1" customWidth="1"/>
    <col min="10237" max="10239" width="15.42578125" bestFit="1" customWidth="1"/>
    <col min="10240" max="10240" width="16.42578125" bestFit="1" customWidth="1"/>
    <col min="10241" max="10243" width="15.42578125" bestFit="1" customWidth="1"/>
    <col min="10244" max="10244" width="16.42578125" bestFit="1" customWidth="1"/>
    <col min="10245" max="10247" width="15.42578125" bestFit="1" customWidth="1"/>
    <col min="10248" max="10248" width="16.42578125" bestFit="1" customWidth="1"/>
    <col min="10249" max="10249" width="15.42578125" bestFit="1" customWidth="1"/>
    <col min="10251" max="10251" width="9.7109375" bestFit="1" customWidth="1"/>
    <col min="10482" max="10482" width="61.85546875" customWidth="1"/>
    <col min="10483" max="10483" width="17.85546875" customWidth="1"/>
    <col min="10484" max="10484" width="16.42578125" customWidth="1"/>
    <col min="10485" max="10487" width="15.42578125" bestFit="1" customWidth="1"/>
    <col min="10488" max="10488" width="16.42578125" bestFit="1" customWidth="1"/>
    <col min="10489" max="10491" width="15.42578125" bestFit="1" customWidth="1"/>
    <col min="10492" max="10492" width="16.42578125" bestFit="1" customWidth="1"/>
    <col min="10493" max="10495" width="15.42578125" bestFit="1" customWidth="1"/>
    <col min="10496" max="10496" width="16.42578125" bestFit="1" customWidth="1"/>
    <col min="10497" max="10499" width="15.42578125" bestFit="1" customWidth="1"/>
    <col min="10500" max="10500" width="16.42578125" bestFit="1" customWidth="1"/>
    <col min="10501" max="10503" width="15.42578125" bestFit="1" customWidth="1"/>
    <col min="10504" max="10504" width="16.42578125" bestFit="1" customWidth="1"/>
    <col min="10505" max="10505" width="15.42578125" bestFit="1" customWidth="1"/>
    <col min="10507" max="10507" width="9.7109375" bestFit="1" customWidth="1"/>
    <col min="10738" max="10738" width="61.85546875" customWidth="1"/>
    <col min="10739" max="10739" width="17.85546875" customWidth="1"/>
    <col min="10740" max="10740" width="16.42578125" customWidth="1"/>
    <col min="10741" max="10743" width="15.42578125" bestFit="1" customWidth="1"/>
    <col min="10744" max="10744" width="16.42578125" bestFit="1" customWidth="1"/>
    <col min="10745" max="10747" width="15.42578125" bestFit="1" customWidth="1"/>
    <col min="10748" max="10748" width="16.42578125" bestFit="1" customWidth="1"/>
    <col min="10749" max="10751" width="15.42578125" bestFit="1" customWidth="1"/>
    <col min="10752" max="10752" width="16.42578125" bestFit="1" customWidth="1"/>
    <col min="10753" max="10755" width="15.42578125" bestFit="1" customWidth="1"/>
    <col min="10756" max="10756" width="16.42578125" bestFit="1" customWidth="1"/>
    <col min="10757" max="10759" width="15.42578125" bestFit="1" customWidth="1"/>
    <col min="10760" max="10760" width="16.42578125" bestFit="1" customWidth="1"/>
    <col min="10761" max="10761" width="15.42578125" bestFit="1" customWidth="1"/>
    <col min="10763" max="10763" width="9.7109375" bestFit="1" customWidth="1"/>
    <col min="10994" max="10994" width="61.85546875" customWidth="1"/>
    <col min="10995" max="10995" width="17.85546875" customWidth="1"/>
    <col min="10996" max="10996" width="16.42578125" customWidth="1"/>
    <col min="10997" max="10999" width="15.42578125" bestFit="1" customWidth="1"/>
    <col min="11000" max="11000" width="16.42578125" bestFit="1" customWidth="1"/>
    <col min="11001" max="11003" width="15.42578125" bestFit="1" customWidth="1"/>
    <col min="11004" max="11004" width="16.42578125" bestFit="1" customWidth="1"/>
    <col min="11005" max="11007" width="15.42578125" bestFit="1" customWidth="1"/>
    <col min="11008" max="11008" width="16.42578125" bestFit="1" customWidth="1"/>
    <col min="11009" max="11011" width="15.42578125" bestFit="1" customWidth="1"/>
    <col min="11012" max="11012" width="16.42578125" bestFit="1" customWidth="1"/>
    <col min="11013" max="11015" width="15.42578125" bestFit="1" customWidth="1"/>
    <col min="11016" max="11016" width="16.42578125" bestFit="1" customWidth="1"/>
    <col min="11017" max="11017" width="15.42578125" bestFit="1" customWidth="1"/>
    <col min="11019" max="11019" width="9.7109375" bestFit="1" customWidth="1"/>
    <col min="11250" max="11250" width="61.85546875" customWidth="1"/>
    <col min="11251" max="11251" width="17.85546875" customWidth="1"/>
    <col min="11252" max="11252" width="16.42578125" customWidth="1"/>
    <col min="11253" max="11255" width="15.42578125" bestFit="1" customWidth="1"/>
    <col min="11256" max="11256" width="16.42578125" bestFit="1" customWidth="1"/>
    <col min="11257" max="11259" width="15.42578125" bestFit="1" customWidth="1"/>
    <col min="11260" max="11260" width="16.42578125" bestFit="1" customWidth="1"/>
    <col min="11261" max="11263" width="15.42578125" bestFit="1" customWidth="1"/>
    <col min="11264" max="11264" width="16.42578125" bestFit="1" customWidth="1"/>
    <col min="11265" max="11267" width="15.42578125" bestFit="1" customWidth="1"/>
    <col min="11268" max="11268" width="16.42578125" bestFit="1" customWidth="1"/>
    <col min="11269" max="11271" width="15.42578125" bestFit="1" customWidth="1"/>
    <col min="11272" max="11272" width="16.42578125" bestFit="1" customWidth="1"/>
    <col min="11273" max="11273" width="15.42578125" bestFit="1" customWidth="1"/>
    <col min="11275" max="11275" width="9.7109375" bestFit="1" customWidth="1"/>
    <col min="11506" max="11506" width="61.85546875" customWidth="1"/>
    <col min="11507" max="11507" width="17.85546875" customWidth="1"/>
    <col min="11508" max="11508" width="16.42578125" customWidth="1"/>
    <col min="11509" max="11511" width="15.42578125" bestFit="1" customWidth="1"/>
    <col min="11512" max="11512" width="16.42578125" bestFit="1" customWidth="1"/>
    <col min="11513" max="11515" width="15.42578125" bestFit="1" customWidth="1"/>
    <col min="11516" max="11516" width="16.42578125" bestFit="1" customWidth="1"/>
    <col min="11517" max="11519" width="15.42578125" bestFit="1" customWidth="1"/>
    <col min="11520" max="11520" width="16.42578125" bestFit="1" customWidth="1"/>
    <col min="11521" max="11523" width="15.42578125" bestFit="1" customWidth="1"/>
    <col min="11524" max="11524" width="16.42578125" bestFit="1" customWidth="1"/>
    <col min="11525" max="11527" width="15.42578125" bestFit="1" customWidth="1"/>
    <col min="11528" max="11528" width="16.42578125" bestFit="1" customWidth="1"/>
    <col min="11529" max="11529" width="15.42578125" bestFit="1" customWidth="1"/>
    <col min="11531" max="11531" width="9.7109375" bestFit="1" customWidth="1"/>
    <col min="11762" max="11762" width="61.85546875" customWidth="1"/>
    <col min="11763" max="11763" width="17.85546875" customWidth="1"/>
    <col min="11764" max="11764" width="16.42578125" customWidth="1"/>
    <col min="11765" max="11767" width="15.42578125" bestFit="1" customWidth="1"/>
    <col min="11768" max="11768" width="16.42578125" bestFit="1" customWidth="1"/>
    <col min="11769" max="11771" width="15.42578125" bestFit="1" customWidth="1"/>
    <col min="11772" max="11772" width="16.42578125" bestFit="1" customWidth="1"/>
    <col min="11773" max="11775" width="15.42578125" bestFit="1" customWidth="1"/>
    <col min="11776" max="11776" width="16.42578125" bestFit="1" customWidth="1"/>
    <col min="11777" max="11779" width="15.42578125" bestFit="1" customWidth="1"/>
    <col min="11780" max="11780" width="16.42578125" bestFit="1" customWidth="1"/>
    <col min="11781" max="11783" width="15.42578125" bestFit="1" customWidth="1"/>
    <col min="11784" max="11784" width="16.42578125" bestFit="1" customWidth="1"/>
    <col min="11785" max="11785" width="15.42578125" bestFit="1" customWidth="1"/>
    <col min="11787" max="11787" width="9.7109375" bestFit="1" customWidth="1"/>
    <col min="12018" max="12018" width="61.85546875" customWidth="1"/>
    <col min="12019" max="12019" width="17.85546875" customWidth="1"/>
    <col min="12020" max="12020" width="16.42578125" customWidth="1"/>
    <col min="12021" max="12023" width="15.42578125" bestFit="1" customWidth="1"/>
    <col min="12024" max="12024" width="16.42578125" bestFit="1" customWidth="1"/>
    <col min="12025" max="12027" width="15.42578125" bestFit="1" customWidth="1"/>
    <col min="12028" max="12028" width="16.42578125" bestFit="1" customWidth="1"/>
    <col min="12029" max="12031" width="15.42578125" bestFit="1" customWidth="1"/>
    <col min="12032" max="12032" width="16.42578125" bestFit="1" customWidth="1"/>
    <col min="12033" max="12035" width="15.42578125" bestFit="1" customWidth="1"/>
    <col min="12036" max="12036" width="16.42578125" bestFit="1" customWidth="1"/>
    <col min="12037" max="12039" width="15.42578125" bestFit="1" customWidth="1"/>
    <col min="12040" max="12040" width="16.42578125" bestFit="1" customWidth="1"/>
    <col min="12041" max="12041" width="15.42578125" bestFit="1" customWidth="1"/>
    <col min="12043" max="12043" width="9.7109375" bestFit="1" customWidth="1"/>
    <col min="12274" max="12274" width="61.85546875" customWidth="1"/>
    <col min="12275" max="12275" width="17.85546875" customWidth="1"/>
    <col min="12276" max="12276" width="16.42578125" customWidth="1"/>
    <col min="12277" max="12279" width="15.42578125" bestFit="1" customWidth="1"/>
    <col min="12280" max="12280" width="16.42578125" bestFit="1" customWidth="1"/>
    <col min="12281" max="12283" width="15.42578125" bestFit="1" customWidth="1"/>
    <col min="12284" max="12284" width="16.42578125" bestFit="1" customWidth="1"/>
    <col min="12285" max="12287" width="15.42578125" bestFit="1" customWidth="1"/>
    <col min="12288" max="12288" width="16.42578125" bestFit="1" customWidth="1"/>
    <col min="12289" max="12291" width="15.42578125" bestFit="1" customWidth="1"/>
    <col min="12292" max="12292" width="16.42578125" bestFit="1" customWidth="1"/>
    <col min="12293" max="12295" width="15.42578125" bestFit="1" customWidth="1"/>
    <col min="12296" max="12296" width="16.42578125" bestFit="1" customWidth="1"/>
    <col min="12297" max="12297" width="15.42578125" bestFit="1" customWidth="1"/>
    <col min="12299" max="12299" width="9.7109375" bestFit="1" customWidth="1"/>
    <col min="12530" max="12530" width="61.85546875" customWidth="1"/>
    <col min="12531" max="12531" width="17.85546875" customWidth="1"/>
    <col min="12532" max="12532" width="16.42578125" customWidth="1"/>
    <col min="12533" max="12535" width="15.42578125" bestFit="1" customWidth="1"/>
    <col min="12536" max="12536" width="16.42578125" bestFit="1" customWidth="1"/>
    <col min="12537" max="12539" width="15.42578125" bestFit="1" customWidth="1"/>
    <col min="12540" max="12540" width="16.42578125" bestFit="1" customWidth="1"/>
    <col min="12541" max="12543" width="15.42578125" bestFit="1" customWidth="1"/>
    <col min="12544" max="12544" width="16.42578125" bestFit="1" customWidth="1"/>
    <col min="12545" max="12547" width="15.42578125" bestFit="1" customWidth="1"/>
    <col min="12548" max="12548" width="16.42578125" bestFit="1" customWidth="1"/>
    <col min="12549" max="12551" width="15.42578125" bestFit="1" customWidth="1"/>
    <col min="12552" max="12552" width="16.42578125" bestFit="1" customWidth="1"/>
    <col min="12553" max="12553" width="15.42578125" bestFit="1" customWidth="1"/>
    <col min="12555" max="12555" width="9.7109375" bestFit="1" customWidth="1"/>
    <col min="12786" max="12786" width="61.85546875" customWidth="1"/>
    <col min="12787" max="12787" width="17.85546875" customWidth="1"/>
    <col min="12788" max="12788" width="16.42578125" customWidth="1"/>
    <col min="12789" max="12791" width="15.42578125" bestFit="1" customWidth="1"/>
    <col min="12792" max="12792" width="16.42578125" bestFit="1" customWidth="1"/>
    <col min="12793" max="12795" width="15.42578125" bestFit="1" customWidth="1"/>
    <col min="12796" max="12796" width="16.42578125" bestFit="1" customWidth="1"/>
    <col min="12797" max="12799" width="15.42578125" bestFit="1" customWidth="1"/>
    <col min="12800" max="12800" width="16.42578125" bestFit="1" customWidth="1"/>
    <col min="12801" max="12803" width="15.42578125" bestFit="1" customWidth="1"/>
    <col min="12804" max="12804" width="16.42578125" bestFit="1" customWidth="1"/>
    <col min="12805" max="12807" width="15.42578125" bestFit="1" customWidth="1"/>
    <col min="12808" max="12808" width="16.42578125" bestFit="1" customWidth="1"/>
    <col min="12809" max="12809" width="15.42578125" bestFit="1" customWidth="1"/>
    <col min="12811" max="12811" width="9.7109375" bestFit="1" customWidth="1"/>
    <col min="13042" max="13042" width="61.85546875" customWidth="1"/>
    <col min="13043" max="13043" width="17.85546875" customWidth="1"/>
    <col min="13044" max="13044" width="16.42578125" customWidth="1"/>
    <col min="13045" max="13047" width="15.42578125" bestFit="1" customWidth="1"/>
    <col min="13048" max="13048" width="16.42578125" bestFit="1" customWidth="1"/>
    <col min="13049" max="13051" width="15.42578125" bestFit="1" customWidth="1"/>
    <col min="13052" max="13052" width="16.42578125" bestFit="1" customWidth="1"/>
    <col min="13053" max="13055" width="15.42578125" bestFit="1" customWidth="1"/>
    <col min="13056" max="13056" width="16.42578125" bestFit="1" customWidth="1"/>
    <col min="13057" max="13059" width="15.42578125" bestFit="1" customWidth="1"/>
    <col min="13060" max="13060" width="16.42578125" bestFit="1" customWidth="1"/>
    <col min="13061" max="13063" width="15.42578125" bestFit="1" customWidth="1"/>
    <col min="13064" max="13064" width="16.42578125" bestFit="1" customWidth="1"/>
    <col min="13065" max="13065" width="15.42578125" bestFit="1" customWidth="1"/>
    <col min="13067" max="13067" width="9.7109375" bestFit="1" customWidth="1"/>
    <col min="13298" max="13298" width="61.85546875" customWidth="1"/>
    <col min="13299" max="13299" width="17.85546875" customWidth="1"/>
    <col min="13300" max="13300" width="16.42578125" customWidth="1"/>
    <col min="13301" max="13303" width="15.42578125" bestFit="1" customWidth="1"/>
    <col min="13304" max="13304" width="16.42578125" bestFit="1" customWidth="1"/>
    <col min="13305" max="13307" width="15.42578125" bestFit="1" customWidth="1"/>
    <col min="13308" max="13308" width="16.42578125" bestFit="1" customWidth="1"/>
    <col min="13309" max="13311" width="15.42578125" bestFit="1" customWidth="1"/>
    <col min="13312" max="13312" width="16.42578125" bestFit="1" customWidth="1"/>
    <col min="13313" max="13315" width="15.42578125" bestFit="1" customWidth="1"/>
    <col min="13316" max="13316" width="16.42578125" bestFit="1" customWidth="1"/>
    <col min="13317" max="13319" width="15.42578125" bestFit="1" customWidth="1"/>
    <col min="13320" max="13320" width="16.42578125" bestFit="1" customWidth="1"/>
    <col min="13321" max="13321" width="15.42578125" bestFit="1" customWidth="1"/>
    <col min="13323" max="13323" width="9.7109375" bestFit="1" customWidth="1"/>
    <col min="13554" max="13554" width="61.85546875" customWidth="1"/>
    <col min="13555" max="13555" width="17.85546875" customWidth="1"/>
    <col min="13556" max="13556" width="16.42578125" customWidth="1"/>
    <col min="13557" max="13559" width="15.42578125" bestFit="1" customWidth="1"/>
    <col min="13560" max="13560" width="16.42578125" bestFit="1" customWidth="1"/>
    <col min="13561" max="13563" width="15.42578125" bestFit="1" customWidth="1"/>
    <col min="13564" max="13564" width="16.42578125" bestFit="1" customWidth="1"/>
    <col min="13565" max="13567" width="15.42578125" bestFit="1" customWidth="1"/>
    <col min="13568" max="13568" width="16.42578125" bestFit="1" customWidth="1"/>
    <col min="13569" max="13571" width="15.42578125" bestFit="1" customWidth="1"/>
    <col min="13572" max="13572" width="16.42578125" bestFit="1" customWidth="1"/>
    <col min="13573" max="13575" width="15.42578125" bestFit="1" customWidth="1"/>
    <col min="13576" max="13576" width="16.42578125" bestFit="1" customWidth="1"/>
    <col min="13577" max="13577" width="15.42578125" bestFit="1" customWidth="1"/>
    <col min="13579" max="13579" width="9.7109375" bestFit="1" customWidth="1"/>
    <col min="13810" max="13810" width="61.85546875" customWidth="1"/>
    <col min="13811" max="13811" width="17.85546875" customWidth="1"/>
    <col min="13812" max="13812" width="16.42578125" customWidth="1"/>
    <col min="13813" max="13815" width="15.42578125" bestFit="1" customWidth="1"/>
    <col min="13816" max="13816" width="16.42578125" bestFit="1" customWidth="1"/>
    <col min="13817" max="13819" width="15.42578125" bestFit="1" customWidth="1"/>
    <col min="13820" max="13820" width="16.42578125" bestFit="1" customWidth="1"/>
    <col min="13821" max="13823" width="15.42578125" bestFit="1" customWidth="1"/>
    <col min="13824" max="13824" width="16.42578125" bestFit="1" customWidth="1"/>
    <col min="13825" max="13827" width="15.42578125" bestFit="1" customWidth="1"/>
    <col min="13828" max="13828" width="16.42578125" bestFit="1" customWidth="1"/>
    <col min="13829" max="13831" width="15.42578125" bestFit="1" customWidth="1"/>
    <col min="13832" max="13832" width="16.42578125" bestFit="1" customWidth="1"/>
    <col min="13833" max="13833" width="15.42578125" bestFit="1" customWidth="1"/>
    <col min="13835" max="13835" width="9.7109375" bestFit="1" customWidth="1"/>
    <col min="14066" max="14066" width="61.85546875" customWidth="1"/>
    <col min="14067" max="14067" width="17.85546875" customWidth="1"/>
    <col min="14068" max="14068" width="16.42578125" customWidth="1"/>
    <col min="14069" max="14071" width="15.42578125" bestFit="1" customWidth="1"/>
    <col min="14072" max="14072" width="16.42578125" bestFit="1" customWidth="1"/>
    <col min="14073" max="14075" width="15.42578125" bestFit="1" customWidth="1"/>
    <col min="14076" max="14076" width="16.42578125" bestFit="1" customWidth="1"/>
    <col min="14077" max="14079" width="15.42578125" bestFit="1" customWidth="1"/>
    <col min="14080" max="14080" width="16.42578125" bestFit="1" customWidth="1"/>
    <col min="14081" max="14083" width="15.42578125" bestFit="1" customWidth="1"/>
    <col min="14084" max="14084" width="16.42578125" bestFit="1" customWidth="1"/>
    <col min="14085" max="14087" width="15.42578125" bestFit="1" customWidth="1"/>
    <col min="14088" max="14088" width="16.42578125" bestFit="1" customWidth="1"/>
    <col min="14089" max="14089" width="15.42578125" bestFit="1" customWidth="1"/>
    <col min="14091" max="14091" width="9.7109375" bestFit="1" customWidth="1"/>
    <col min="14322" max="14322" width="61.85546875" customWidth="1"/>
    <col min="14323" max="14323" width="17.85546875" customWidth="1"/>
    <col min="14324" max="14324" width="16.42578125" customWidth="1"/>
    <col min="14325" max="14327" width="15.42578125" bestFit="1" customWidth="1"/>
    <col min="14328" max="14328" width="16.42578125" bestFit="1" customWidth="1"/>
    <col min="14329" max="14331" width="15.42578125" bestFit="1" customWidth="1"/>
    <col min="14332" max="14332" width="16.42578125" bestFit="1" customWidth="1"/>
    <col min="14333" max="14335" width="15.42578125" bestFit="1" customWidth="1"/>
    <col min="14336" max="14336" width="16.42578125" bestFit="1" customWidth="1"/>
    <col min="14337" max="14339" width="15.42578125" bestFit="1" customWidth="1"/>
    <col min="14340" max="14340" width="16.42578125" bestFit="1" customWidth="1"/>
    <col min="14341" max="14343" width="15.42578125" bestFit="1" customWidth="1"/>
    <col min="14344" max="14344" width="16.42578125" bestFit="1" customWidth="1"/>
    <col min="14345" max="14345" width="15.42578125" bestFit="1" customWidth="1"/>
    <col min="14347" max="14347" width="9.7109375" bestFit="1" customWidth="1"/>
    <col min="14578" max="14578" width="61.85546875" customWidth="1"/>
    <col min="14579" max="14579" width="17.85546875" customWidth="1"/>
    <col min="14580" max="14580" width="16.42578125" customWidth="1"/>
    <col min="14581" max="14583" width="15.42578125" bestFit="1" customWidth="1"/>
    <col min="14584" max="14584" width="16.42578125" bestFit="1" customWidth="1"/>
    <col min="14585" max="14587" width="15.42578125" bestFit="1" customWidth="1"/>
    <col min="14588" max="14588" width="16.42578125" bestFit="1" customWidth="1"/>
    <col min="14589" max="14591" width="15.42578125" bestFit="1" customWidth="1"/>
    <col min="14592" max="14592" width="16.42578125" bestFit="1" customWidth="1"/>
    <col min="14593" max="14595" width="15.42578125" bestFit="1" customWidth="1"/>
    <col min="14596" max="14596" width="16.42578125" bestFit="1" customWidth="1"/>
    <col min="14597" max="14599" width="15.42578125" bestFit="1" customWidth="1"/>
    <col min="14600" max="14600" width="16.42578125" bestFit="1" customWidth="1"/>
    <col min="14601" max="14601" width="15.42578125" bestFit="1" customWidth="1"/>
    <col min="14603" max="14603" width="9.7109375" bestFit="1" customWidth="1"/>
    <col min="14834" max="14834" width="61.85546875" customWidth="1"/>
    <col min="14835" max="14835" width="17.85546875" customWidth="1"/>
    <col min="14836" max="14836" width="16.42578125" customWidth="1"/>
    <col min="14837" max="14839" width="15.42578125" bestFit="1" customWidth="1"/>
    <col min="14840" max="14840" width="16.42578125" bestFit="1" customWidth="1"/>
    <col min="14841" max="14843" width="15.42578125" bestFit="1" customWidth="1"/>
    <col min="14844" max="14844" width="16.42578125" bestFit="1" customWidth="1"/>
    <col min="14845" max="14847" width="15.42578125" bestFit="1" customWidth="1"/>
    <col min="14848" max="14848" width="16.42578125" bestFit="1" customWidth="1"/>
    <col min="14849" max="14851" width="15.42578125" bestFit="1" customWidth="1"/>
    <col min="14852" max="14852" width="16.42578125" bestFit="1" customWidth="1"/>
    <col min="14853" max="14855" width="15.42578125" bestFit="1" customWidth="1"/>
    <col min="14856" max="14856" width="16.42578125" bestFit="1" customWidth="1"/>
    <col min="14857" max="14857" width="15.42578125" bestFit="1" customWidth="1"/>
    <col min="14859" max="14859" width="9.7109375" bestFit="1" customWidth="1"/>
    <col min="15090" max="15090" width="61.85546875" customWidth="1"/>
    <col min="15091" max="15091" width="17.85546875" customWidth="1"/>
    <col min="15092" max="15092" width="16.42578125" customWidth="1"/>
    <col min="15093" max="15095" width="15.42578125" bestFit="1" customWidth="1"/>
    <col min="15096" max="15096" width="16.42578125" bestFit="1" customWidth="1"/>
    <col min="15097" max="15099" width="15.42578125" bestFit="1" customWidth="1"/>
    <col min="15100" max="15100" width="16.42578125" bestFit="1" customWidth="1"/>
    <col min="15101" max="15103" width="15.42578125" bestFit="1" customWidth="1"/>
    <col min="15104" max="15104" width="16.42578125" bestFit="1" customWidth="1"/>
    <col min="15105" max="15107" width="15.42578125" bestFit="1" customWidth="1"/>
    <col min="15108" max="15108" width="16.42578125" bestFit="1" customWidth="1"/>
    <col min="15109" max="15111" width="15.42578125" bestFit="1" customWidth="1"/>
    <col min="15112" max="15112" width="16.42578125" bestFit="1" customWidth="1"/>
    <col min="15113" max="15113" width="15.42578125" bestFit="1" customWidth="1"/>
    <col min="15115" max="15115" width="9.7109375" bestFit="1" customWidth="1"/>
    <col min="15346" max="15346" width="61.85546875" customWidth="1"/>
    <col min="15347" max="15347" width="17.85546875" customWidth="1"/>
    <col min="15348" max="15348" width="16.42578125" customWidth="1"/>
    <col min="15349" max="15351" width="15.42578125" bestFit="1" customWidth="1"/>
    <col min="15352" max="15352" width="16.42578125" bestFit="1" customWidth="1"/>
    <col min="15353" max="15355" width="15.42578125" bestFit="1" customWidth="1"/>
    <col min="15356" max="15356" width="16.42578125" bestFit="1" customWidth="1"/>
    <col min="15357" max="15359" width="15.42578125" bestFit="1" customWidth="1"/>
    <col min="15360" max="15360" width="16.42578125" bestFit="1" customWidth="1"/>
    <col min="15361" max="15363" width="15.42578125" bestFit="1" customWidth="1"/>
    <col min="15364" max="15364" width="16.42578125" bestFit="1" customWidth="1"/>
    <col min="15365" max="15367" width="15.42578125" bestFit="1" customWidth="1"/>
    <col min="15368" max="15368" width="16.42578125" bestFit="1" customWidth="1"/>
    <col min="15369" max="15369" width="15.42578125" bestFit="1" customWidth="1"/>
    <col min="15371" max="15371" width="9.7109375" bestFit="1" customWidth="1"/>
    <col min="15602" max="15602" width="61.85546875" customWidth="1"/>
    <col min="15603" max="15603" width="17.85546875" customWidth="1"/>
    <col min="15604" max="15604" width="16.42578125" customWidth="1"/>
    <col min="15605" max="15607" width="15.42578125" bestFit="1" customWidth="1"/>
    <col min="15608" max="15608" width="16.42578125" bestFit="1" customWidth="1"/>
    <col min="15609" max="15611" width="15.42578125" bestFit="1" customWidth="1"/>
    <col min="15612" max="15612" width="16.42578125" bestFit="1" customWidth="1"/>
    <col min="15613" max="15615" width="15.42578125" bestFit="1" customWidth="1"/>
    <col min="15616" max="15616" width="16.42578125" bestFit="1" customWidth="1"/>
    <col min="15617" max="15619" width="15.42578125" bestFit="1" customWidth="1"/>
    <col min="15620" max="15620" width="16.42578125" bestFit="1" customWidth="1"/>
    <col min="15621" max="15623" width="15.42578125" bestFit="1" customWidth="1"/>
    <col min="15624" max="15624" width="16.42578125" bestFit="1" customWidth="1"/>
    <col min="15625" max="15625" width="15.42578125" bestFit="1" customWidth="1"/>
    <col min="15627" max="15627" width="9.7109375" bestFit="1" customWidth="1"/>
    <col min="15858" max="15858" width="61.85546875" customWidth="1"/>
    <col min="15859" max="15859" width="17.85546875" customWidth="1"/>
    <col min="15860" max="15860" width="16.42578125" customWidth="1"/>
    <col min="15861" max="15863" width="15.42578125" bestFit="1" customWidth="1"/>
    <col min="15864" max="15864" width="16.42578125" bestFit="1" customWidth="1"/>
    <col min="15865" max="15867" width="15.42578125" bestFit="1" customWidth="1"/>
    <col min="15868" max="15868" width="16.42578125" bestFit="1" customWidth="1"/>
    <col min="15869" max="15871" width="15.42578125" bestFit="1" customWidth="1"/>
    <col min="15872" max="15872" width="16.42578125" bestFit="1" customWidth="1"/>
    <col min="15873" max="15875" width="15.42578125" bestFit="1" customWidth="1"/>
    <col min="15876" max="15876" width="16.42578125" bestFit="1" customWidth="1"/>
    <col min="15877" max="15879" width="15.42578125" bestFit="1" customWidth="1"/>
    <col min="15880" max="15880" width="16.42578125" bestFit="1" customWidth="1"/>
    <col min="15881" max="15881" width="15.42578125" bestFit="1" customWidth="1"/>
    <col min="15883" max="15883" width="9.7109375" bestFit="1" customWidth="1"/>
    <col min="16114" max="16114" width="61.85546875" customWidth="1"/>
    <col min="16115" max="16115" width="17.85546875" customWidth="1"/>
    <col min="16116" max="16116" width="16.42578125" customWidth="1"/>
    <col min="16117" max="16119" width="15.42578125" bestFit="1" customWidth="1"/>
    <col min="16120" max="16120" width="16.42578125" bestFit="1" customWidth="1"/>
    <col min="16121" max="16123" width="15.42578125" bestFit="1" customWidth="1"/>
    <col min="16124" max="16124" width="16.42578125" bestFit="1" customWidth="1"/>
    <col min="16125" max="16127" width="15.42578125" bestFit="1" customWidth="1"/>
    <col min="16128" max="16128" width="16.42578125" bestFit="1" customWidth="1"/>
    <col min="16129" max="16131" width="15.42578125" bestFit="1" customWidth="1"/>
    <col min="16132" max="16132" width="16.42578125" bestFit="1" customWidth="1"/>
    <col min="16133" max="16135" width="15.42578125" bestFit="1" customWidth="1"/>
    <col min="16136" max="16136" width="16.42578125" bestFit="1" customWidth="1"/>
    <col min="16137" max="16137" width="15.42578125" bestFit="1" customWidth="1"/>
    <col min="16139" max="16139" width="9.7109375" bestFit="1" customWidth="1"/>
  </cols>
  <sheetData>
    <row r="1" spans="1:5" ht="45" x14ac:dyDescent="0.25">
      <c r="A1" s="327" t="s">
        <v>0</v>
      </c>
      <c r="B1" s="326" t="s">
        <v>1</v>
      </c>
      <c r="C1" s="326" t="s">
        <v>2</v>
      </c>
      <c r="D1" s="326" t="s">
        <v>3</v>
      </c>
      <c r="E1" s="326" t="s">
        <v>4</v>
      </c>
    </row>
    <row r="2" spans="1:5" x14ac:dyDescent="0.25">
      <c r="A2" s="21">
        <v>42644</v>
      </c>
      <c r="B2" s="25">
        <v>0</v>
      </c>
      <c r="C2" s="25">
        <f>B2</f>
        <v>0</v>
      </c>
      <c r="D2" s="13">
        <f>'Dubuque Housing'!AA5</f>
        <v>0</v>
      </c>
      <c r="E2" s="13">
        <f>D2</f>
        <v>0</v>
      </c>
    </row>
    <row r="3" spans="1:5" x14ac:dyDescent="0.25">
      <c r="A3" s="21">
        <v>42736</v>
      </c>
      <c r="B3" s="25">
        <v>1</v>
      </c>
      <c r="C3" s="328">
        <f>C2+B3</f>
        <v>1</v>
      </c>
      <c r="D3" s="13">
        <f>'Dubuque Housing'!AA6</f>
        <v>0</v>
      </c>
      <c r="E3" s="13">
        <f>E2+D3</f>
        <v>0</v>
      </c>
    </row>
    <row r="4" spans="1:5" x14ac:dyDescent="0.25">
      <c r="A4" s="21">
        <v>42826</v>
      </c>
      <c r="B4" s="25">
        <v>6</v>
      </c>
      <c r="C4" s="328">
        <f t="shared" ref="C4:C24" si="0">C3+B4</f>
        <v>7</v>
      </c>
      <c r="D4" s="13">
        <f>'Dubuque Housing'!AA7</f>
        <v>0</v>
      </c>
      <c r="E4" s="13">
        <f t="shared" ref="E4:E24" si="1">E3+D4</f>
        <v>0</v>
      </c>
    </row>
    <row r="5" spans="1:5" x14ac:dyDescent="0.25">
      <c r="A5" s="21">
        <v>42917</v>
      </c>
      <c r="B5" s="25">
        <v>20</v>
      </c>
      <c r="C5" s="328">
        <f t="shared" si="0"/>
        <v>27</v>
      </c>
      <c r="D5" s="13">
        <f>'Dubuque Housing'!AA8</f>
        <v>0</v>
      </c>
      <c r="E5" s="13">
        <f t="shared" si="1"/>
        <v>0</v>
      </c>
    </row>
    <row r="6" spans="1:5" x14ac:dyDescent="0.25">
      <c r="A6" s="21">
        <v>43009</v>
      </c>
      <c r="B6" s="25">
        <v>25</v>
      </c>
      <c r="C6" s="328">
        <f t="shared" si="0"/>
        <v>52</v>
      </c>
      <c r="D6" s="13">
        <f>'Dubuque Housing'!AA9</f>
        <v>5</v>
      </c>
      <c r="E6" s="13">
        <f t="shared" si="1"/>
        <v>5</v>
      </c>
    </row>
    <row r="7" spans="1:5" x14ac:dyDescent="0.25">
      <c r="A7" s="21">
        <v>43101</v>
      </c>
      <c r="B7" s="25">
        <v>15</v>
      </c>
      <c r="C7" s="328">
        <f t="shared" si="0"/>
        <v>67</v>
      </c>
      <c r="D7" s="13">
        <f>'Dubuque Housing'!AA10</f>
        <v>10</v>
      </c>
      <c r="E7" s="13">
        <f t="shared" si="1"/>
        <v>15</v>
      </c>
    </row>
    <row r="8" spans="1:5" x14ac:dyDescent="0.25">
      <c r="A8" s="21">
        <v>43191</v>
      </c>
      <c r="B8" s="25">
        <v>10</v>
      </c>
      <c r="C8" s="328">
        <f t="shared" si="0"/>
        <v>77</v>
      </c>
      <c r="D8" s="13">
        <f>'Dubuque Housing'!AA11</f>
        <v>19</v>
      </c>
      <c r="E8" s="13">
        <f t="shared" si="1"/>
        <v>34</v>
      </c>
    </row>
    <row r="9" spans="1:5" x14ac:dyDescent="0.25">
      <c r="A9" s="21">
        <v>43282</v>
      </c>
      <c r="B9" s="25">
        <v>20</v>
      </c>
      <c r="C9" s="328">
        <f t="shared" si="0"/>
        <v>97</v>
      </c>
      <c r="D9" s="13">
        <f>'Dubuque Housing'!AA12</f>
        <v>9</v>
      </c>
      <c r="E9" s="13">
        <f t="shared" si="1"/>
        <v>43</v>
      </c>
    </row>
    <row r="10" spans="1:5" x14ac:dyDescent="0.25">
      <c r="A10" s="21">
        <v>43374</v>
      </c>
      <c r="B10" s="25">
        <v>25</v>
      </c>
      <c r="C10" s="328">
        <f t="shared" si="0"/>
        <v>122</v>
      </c>
      <c r="D10" s="13">
        <f>'Dubuque Housing'!AA13</f>
        <v>11</v>
      </c>
      <c r="E10" s="13">
        <f t="shared" si="1"/>
        <v>54</v>
      </c>
    </row>
    <row r="11" spans="1:5" x14ac:dyDescent="0.25">
      <c r="A11" s="21">
        <v>43466</v>
      </c>
      <c r="B11" s="25">
        <v>15</v>
      </c>
      <c r="C11" s="328">
        <f t="shared" si="0"/>
        <v>137</v>
      </c>
      <c r="D11" s="13">
        <f>'Dubuque Housing'!AA14</f>
        <v>6</v>
      </c>
      <c r="E11" s="13">
        <f t="shared" si="1"/>
        <v>60</v>
      </c>
    </row>
    <row r="12" spans="1:5" x14ac:dyDescent="0.25">
      <c r="A12" s="21">
        <v>43556</v>
      </c>
      <c r="B12" s="25">
        <v>10</v>
      </c>
      <c r="C12" s="328">
        <f t="shared" si="0"/>
        <v>147</v>
      </c>
      <c r="D12" s="13">
        <f>'Dubuque Housing'!AA15</f>
        <v>8</v>
      </c>
      <c r="E12" s="13">
        <f t="shared" si="1"/>
        <v>68</v>
      </c>
    </row>
    <row r="13" spans="1:5" x14ac:dyDescent="0.25">
      <c r="A13" s="21">
        <v>43647</v>
      </c>
      <c r="B13" s="25">
        <v>14</v>
      </c>
      <c r="C13" s="328">
        <f t="shared" si="0"/>
        <v>161</v>
      </c>
      <c r="D13" s="13">
        <f>'Dubuque Housing'!AA16</f>
        <v>51</v>
      </c>
      <c r="E13" s="13">
        <f t="shared" si="1"/>
        <v>119</v>
      </c>
    </row>
    <row r="14" spans="1:5" x14ac:dyDescent="0.25">
      <c r="A14" s="21">
        <v>43739</v>
      </c>
      <c r="B14" s="25">
        <v>20</v>
      </c>
      <c r="C14" s="328">
        <f t="shared" si="0"/>
        <v>181</v>
      </c>
      <c r="D14" s="13">
        <f>'Dubuque Housing'!AA17</f>
        <v>78</v>
      </c>
      <c r="E14" s="13">
        <f t="shared" si="1"/>
        <v>197</v>
      </c>
    </row>
    <row r="15" spans="1:5" x14ac:dyDescent="0.25">
      <c r="A15" s="21">
        <v>43831</v>
      </c>
      <c r="B15" s="25">
        <v>20</v>
      </c>
      <c r="C15" s="328">
        <f t="shared" si="0"/>
        <v>201</v>
      </c>
      <c r="D15" s="13">
        <f>'Dubuque Housing'!AA18</f>
        <v>2</v>
      </c>
      <c r="E15" s="13">
        <f t="shared" si="1"/>
        <v>199</v>
      </c>
    </row>
    <row r="16" spans="1:5" x14ac:dyDescent="0.25">
      <c r="A16" s="21">
        <v>43922</v>
      </c>
      <c r="B16" s="25">
        <v>20</v>
      </c>
      <c r="C16" s="328">
        <f t="shared" si="0"/>
        <v>221</v>
      </c>
      <c r="D16" s="13">
        <f>'Dubuque Housing'!AA19</f>
        <v>16</v>
      </c>
      <c r="E16" s="13">
        <f t="shared" si="1"/>
        <v>215</v>
      </c>
    </row>
    <row r="17" spans="1:12" x14ac:dyDescent="0.25">
      <c r="A17" s="21">
        <v>44013</v>
      </c>
      <c r="B17" s="25">
        <v>20</v>
      </c>
      <c r="C17" s="328">
        <f t="shared" si="0"/>
        <v>241</v>
      </c>
      <c r="D17" s="13">
        <f>'Dubuque Housing'!AA20</f>
        <v>10</v>
      </c>
      <c r="E17" s="13">
        <f t="shared" si="1"/>
        <v>225</v>
      </c>
    </row>
    <row r="18" spans="1:12" x14ac:dyDescent="0.25">
      <c r="A18" s="21">
        <v>44105</v>
      </c>
      <c r="B18" s="25">
        <v>25</v>
      </c>
      <c r="C18" s="328">
        <f t="shared" si="0"/>
        <v>266</v>
      </c>
      <c r="D18" s="13">
        <f>'Dubuque Housing'!AA21</f>
        <v>11</v>
      </c>
      <c r="E18" s="13">
        <f t="shared" si="1"/>
        <v>236</v>
      </c>
    </row>
    <row r="19" spans="1:12" x14ac:dyDescent="0.25">
      <c r="A19" s="21">
        <v>44197</v>
      </c>
      <c r="B19" s="25">
        <v>23</v>
      </c>
      <c r="C19" s="328">
        <f t="shared" si="0"/>
        <v>289</v>
      </c>
      <c r="D19" s="13">
        <f>'Dubuque Housing'!AA22</f>
        <v>8</v>
      </c>
      <c r="E19" s="13">
        <f t="shared" si="1"/>
        <v>244</v>
      </c>
    </row>
    <row r="20" spans="1:12" x14ac:dyDescent="0.25">
      <c r="A20" s="21">
        <v>44287</v>
      </c>
      <c r="B20" s="25">
        <v>31</v>
      </c>
      <c r="C20" s="328">
        <f t="shared" si="0"/>
        <v>320</v>
      </c>
      <c r="D20" s="13">
        <f>'Dubuque Housing'!AA23</f>
        <v>6</v>
      </c>
      <c r="E20" s="13">
        <f t="shared" si="1"/>
        <v>250</v>
      </c>
    </row>
    <row r="21" spans="1:12" x14ac:dyDescent="0.25">
      <c r="A21" s="21">
        <v>44378</v>
      </c>
      <c r="B21" s="25">
        <v>0</v>
      </c>
      <c r="C21" s="328">
        <f t="shared" si="0"/>
        <v>320</v>
      </c>
      <c r="D21" s="13">
        <f>'Dubuque Housing'!AA24</f>
        <v>14</v>
      </c>
      <c r="E21" s="13">
        <f t="shared" si="1"/>
        <v>264</v>
      </c>
    </row>
    <row r="22" spans="1:12" x14ac:dyDescent="0.25">
      <c r="A22" s="21">
        <v>44470</v>
      </c>
      <c r="B22" s="25">
        <v>0</v>
      </c>
      <c r="C22" s="328">
        <f t="shared" si="0"/>
        <v>320</v>
      </c>
      <c r="D22" s="13">
        <f>'Dubuque Housing'!AA25</f>
        <v>8</v>
      </c>
      <c r="E22" s="13">
        <f t="shared" si="1"/>
        <v>272</v>
      </c>
    </row>
    <row r="23" spans="1:12" x14ac:dyDescent="0.25">
      <c r="A23" s="21">
        <v>44562</v>
      </c>
      <c r="B23" s="25">
        <v>0</v>
      </c>
      <c r="C23" s="328">
        <f t="shared" si="0"/>
        <v>320</v>
      </c>
      <c r="D23" s="13">
        <f>'Dubuque Housing'!AA26</f>
        <v>3</v>
      </c>
      <c r="E23" s="13">
        <f t="shared" si="1"/>
        <v>275</v>
      </c>
    </row>
    <row r="24" spans="1:12" x14ac:dyDescent="0.25">
      <c r="A24" s="21">
        <v>44652</v>
      </c>
      <c r="B24" s="25">
        <v>0</v>
      </c>
      <c r="C24" s="328">
        <f t="shared" si="0"/>
        <v>320</v>
      </c>
      <c r="D24" s="13">
        <f>'Dubuque Housing'!AA27</f>
        <v>36</v>
      </c>
      <c r="E24" s="13">
        <f t="shared" si="1"/>
        <v>311</v>
      </c>
    </row>
    <row r="25" spans="1:12" x14ac:dyDescent="0.25">
      <c r="A25" s="21"/>
      <c r="B25" s="12"/>
      <c r="C25" s="325"/>
      <c r="D25" s="13"/>
      <c r="E25" s="13"/>
    </row>
    <row r="27" spans="1:12" ht="15.75" thickBot="1" x14ac:dyDescent="0.3"/>
    <row r="28" spans="1:12" ht="75.75" thickTop="1" x14ac:dyDescent="0.25">
      <c r="A28" s="329" t="s">
        <v>5</v>
      </c>
      <c r="B28" s="326" t="s">
        <v>156</v>
      </c>
      <c r="C28" s="326" t="s">
        <v>155</v>
      </c>
      <c r="D28" s="326" t="s">
        <v>154</v>
      </c>
      <c r="E28" s="326" t="s">
        <v>153</v>
      </c>
      <c r="G28" s="331" t="s">
        <v>6</v>
      </c>
      <c r="H28" s="332" t="s">
        <v>7</v>
      </c>
      <c r="I28" s="333" t="s">
        <v>8</v>
      </c>
      <c r="J28" s="338" t="s">
        <v>9</v>
      </c>
      <c r="K28" s="333" t="s">
        <v>157</v>
      </c>
      <c r="L28" s="338" t="s">
        <v>158</v>
      </c>
    </row>
    <row r="29" spans="1:12" x14ac:dyDescent="0.25">
      <c r="A29" s="21">
        <v>42644</v>
      </c>
      <c r="B29" s="25">
        <f>G29+I29</f>
        <v>0</v>
      </c>
      <c r="C29" s="25">
        <f>H29+J29</f>
        <v>0</v>
      </c>
      <c r="D29" s="13">
        <f>H29+J29</f>
        <v>0</v>
      </c>
      <c r="E29" s="13">
        <f>D29</f>
        <v>0</v>
      </c>
      <c r="G29" s="334">
        <f>Benton!V4+'Buena Vista'!V4+Fremont!V5+Howard!V5+Iowa!V5+Johnson!V4+Mills!V4+Winneshiek!V5</f>
        <v>0</v>
      </c>
      <c r="H29" s="335">
        <f>Benton!W4+'Buena Vista'!W4+Fremont!W5+Howard!W5+Iowa!W5+Johnson!W4+Mills!W4+Winneshiek!W5</f>
        <v>0</v>
      </c>
      <c r="I29" s="334">
        <f>'Coralville Infra'!O4+'Dubuque Infra'!T4+'Storm Lake'!V4</f>
        <v>0</v>
      </c>
      <c r="J29" s="335">
        <f>'Coralville Infra'!P4+'Dubuque Infra'!U4+'Storm Lake'!W4</f>
        <v>0</v>
      </c>
      <c r="K29" s="371">
        <f>'Storm Lake'!T4</f>
        <v>0</v>
      </c>
      <c r="L29" s="372">
        <f>'Storm Lake'!U4</f>
        <v>0</v>
      </c>
    </row>
    <row r="30" spans="1:12" x14ac:dyDescent="0.25">
      <c r="A30" s="21">
        <v>42736</v>
      </c>
      <c r="B30" s="25">
        <f t="shared" ref="B30:B54" si="2">G30+I30</f>
        <v>0</v>
      </c>
      <c r="C30" s="328">
        <f>C29+B30</f>
        <v>0</v>
      </c>
      <c r="D30" s="13">
        <f t="shared" ref="D30:D54" si="3">H30+J30</f>
        <v>0</v>
      </c>
      <c r="E30" s="13">
        <f>E29+D30</f>
        <v>0</v>
      </c>
      <c r="G30" s="334">
        <f>Benton!V5+'Buena Vista'!V5+Fremont!V6+Howard!V6+Iowa!V6+Johnson!V5+Mills!V5+Winneshiek!V6</f>
        <v>0</v>
      </c>
      <c r="H30" s="335">
        <f>Benton!W5+'Buena Vista'!W5+Fremont!W6+Howard!W6+Iowa!W6+Johnson!W5+Mills!W5+Winneshiek!W6</f>
        <v>0</v>
      </c>
      <c r="I30" s="334">
        <f>'Coralville Infra'!O5+'Dubuque Infra'!T5+'Storm Lake'!V5</f>
        <v>0</v>
      </c>
      <c r="J30" s="335">
        <f>'Coralville Infra'!P5+'Dubuque Infra'!U5+'Storm Lake'!W5</f>
        <v>0</v>
      </c>
      <c r="K30" s="371">
        <f>'Storm Lake'!T5</f>
        <v>0</v>
      </c>
      <c r="L30" s="372">
        <f>'Storm Lake'!U5</f>
        <v>0</v>
      </c>
    </row>
    <row r="31" spans="1:12" x14ac:dyDescent="0.25">
      <c r="A31" s="21">
        <v>42826</v>
      </c>
      <c r="B31" s="25">
        <f t="shared" si="2"/>
        <v>0</v>
      </c>
      <c r="C31" s="328">
        <f t="shared" ref="C31:C54" si="4">C30+B31</f>
        <v>0</v>
      </c>
      <c r="D31" s="13">
        <f t="shared" si="3"/>
        <v>0</v>
      </c>
      <c r="E31" s="13">
        <f t="shared" ref="E31:E54" si="5">E30+D31</f>
        <v>0</v>
      </c>
      <c r="G31" s="334">
        <f>Benton!V6+'Buena Vista'!V6+Fremont!V7+Howard!V7+Iowa!V7+Johnson!V6+Mills!V6+Winneshiek!V7</f>
        <v>0</v>
      </c>
      <c r="H31" s="335">
        <f>Benton!W6+'Buena Vista'!W6+Fremont!W7+Howard!W7+Iowa!W7+Johnson!W6+Mills!W6+Winneshiek!W7</f>
        <v>0</v>
      </c>
      <c r="I31" s="334">
        <f>'Coralville Infra'!O6+'Dubuque Infra'!T6+'Storm Lake'!V6</f>
        <v>0</v>
      </c>
      <c r="J31" s="335">
        <f>'Coralville Infra'!P6+'Dubuque Infra'!U6+'Storm Lake'!W6</f>
        <v>0</v>
      </c>
      <c r="K31" s="371">
        <f>'Storm Lake'!T6</f>
        <v>0</v>
      </c>
      <c r="L31" s="372">
        <f>'Storm Lake'!U6</f>
        <v>0</v>
      </c>
    </row>
    <row r="32" spans="1:12" x14ac:dyDescent="0.25">
      <c r="A32" s="21">
        <v>42917</v>
      </c>
      <c r="B32" s="25">
        <f t="shared" si="2"/>
        <v>33.449567099567105</v>
      </c>
      <c r="C32" s="328">
        <f t="shared" si="4"/>
        <v>33.449567099567105</v>
      </c>
      <c r="D32" s="13">
        <f t="shared" si="3"/>
        <v>0</v>
      </c>
      <c r="E32" s="13">
        <f t="shared" si="5"/>
        <v>0</v>
      </c>
      <c r="G32" s="334">
        <f>Benton!V7+'Buena Vista'!V7+Fremont!V8+Howard!V8+Iowa!V8+Johnson!V7+Mills!V7+Winneshiek!V8</f>
        <v>33.449567099567105</v>
      </c>
      <c r="H32" s="335">
        <f>Benton!W7+'Buena Vista'!W7+Fremont!W8+Howard!W8+Iowa!W8+Johnson!W7+Mills!W7+Winneshiek!W8</f>
        <v>0</v>
      </c>
      <c r="I32" s="334">
        <f>'Coralville Infra'!O7+'Dubuque Infra'!T7+'Storm Lake'!V7</f>
        <v>0</v>
      </c>
      <c r="J32" s="335">
        <f>'Coralville Infra'!P7+'Dubuque Infra'!U7+'Storm Lake'!W7</f>
        <v>0</v>
      </c>
      <c r="K32" s="371">
        <f>'Storm Lake'!T7</f>
        <v>0</v>
      </c>
      <c r="L32" s="372">
        <f>'Storm Lake'!U7</f>
        <v>0</v>
      </c>
    </row>
    <row r="33" spans="1:12" x14ac:dyDescent="0.25">
      <c r="A33" s="21">
        <v>43009</v>
      </c>
      <c r="B33" s="25">
        <f t="shared" si="2"/>
        <v>33.449567099567105</v>
      </c>
      <c r="C33" s="328">
        <f t="shared" si="4"/>
        <v>66.89913419913421</v>
      </c>
      <c r="D33" s="13">
        <f t="shared" si="3"/>
        <v>0</v>
      </c>
      <c r="E33" s="13">
        <f t="shared" si="5"/>
        <v>0</v>
      </c>
      <c r="G33" s="334">
        <f>Benton!V8+'Buena Vista'!V8+Fremont!V9+Howard!V9+Iowa!V9+Johnson!V8+Mills!V8+Winneshiek!V9</f>
        <v>33.449567099567105</v>
      </c>
      <c r="H33" s="335">
        <f>Benton!W8+'Buena Vista'!W8+Fremont!W9+Howard!W9+Iowa!W9+Johnson!W8+Mills!W8+Winneshiek!W9</f>
        <v>0</v>
      </c>
      <c r="I33" s="334">
        <f>'Coralville Infra'!O8+'Dubuque Infra'!T8+'Storm Lake'!V8</f>
        <v>0</v>
      </c>
      <c r="J33" s="335">
        <f>'Coralville Infra'!P8+'Dubuque Infra'!U8+'Storm Lake'!W8</f>
        <v>0</v>
      </c>
      <c r="K33" s="371">
        <f>'Storm Lake'!T8</f>
        <v>0</v>
      </c>
      <c r="L33" s="372">
        <f>'Storm Lake'!U8</f>
        <v>0</v>
      </c>
    </row>
    <row r="34" spans="1:12" x14ac:dyDescent="0.25">
      <c r="A34" s="21">
        <v>43101</v>
      </c>
      <c r="B34" s="25">
        <f t="shared" si="2"/>
        <v>33.449567099567105</v>
      </c>
      <c r="C34" s="328">
        <f t="shared" si="4"/>
        <v>100.34870129870131</v>
      </c>
      <c r="D34" s="13">
        <f t="shared" si="3"/>
        <v>0</v>
      </c>
      <c r="E34" s="13">
        <f t="shared" si="5"/>
        <v>0</v>
      </c>
      <c r="G34" s="334">
        <f>Benton!V9+'Buena Vista'!V9+Fremont!V10+Howard!V10+Iowa!V10+Johnson!V9+Mills!V9+Winneshiek!V10</f>
        <v>33.449567099567105</v>
      </c>
      <c r="H34" s="335">
        <f>Benton!W9+'Buena Vista'!W9+Fremont!W10+Howard!W10+Iowa!W10+Johnson!W9+Mills!W9+Winneshiek!W10</f>
        <v>0</v>
      </c>
      <c r="I34" s="334">
        <f>'Coralville Infra'!O9+'Dubuque Infra'!T9+'Storm Lake'!V9</f>
        <v>0</v>
      </c>
      <c r="J34" s="335">
        <f>'Coralville Infra'!P9+'Dubuque Infra'!U9+'Storm Lake'!W9</f>
        <v>0</v>
      </c>
      <c r="K34" s="371">
        <f>'Storm Lake'!T9</f>
        <v>0</v>
      </c>
      <c r="L34" s="372">
        <f>'Storm Lake'!U9</f>
        <v>0</v>
      </c>
    </row>
    <row r="35" spans="1:12" x14ac:dyDescent="0.25">
      <c r="A35" s="21">
        <v>43191</v>
      </c>
      <c r="B35" s="25">
        <f t="shared" si="2"/>
        <v>33.449567099567105</v>
      </c>
      <c r="C35" s="328">
        <f t="shared" si="4"/>
        <v>133.79826839826842</v>
      </c>
      <c r="D35" s="13">
        <f t="shared" si="3"/>
        <v>2</v>
      </c>
      <c r="E35" s="13">
        <f t="shared" si="5"/>
        <v>2</v>
      </c>
      <c r="G35" s="334">
        <f>Benton!V10+'Buena Vista'!V10+Fremont!V11+Howard!V11+Iowa!V11+Johnson!V10+Mills!V10+Winneshiek!V11</f>
        <v>33.449567099567105</v>
      </c>
      <c r="H35" s="335">
        <f>Benton!W10+'Buena Vista'!W10+Fremont!W11+Howard!W11+Iowa!W11+Johnson!W10+Mills!W10+Winneshiek!W11</f>
        <v>0</v>
      </c>
      <c r="I35" s="334">
        <f>'Coralville Infra'!O10+'Dubuque Infra'!T10+'Storm Lake'!V10</f>
        <v>0</v>
      </c>
      <c r="J35" s="335">
        <f>'Coralville Infra'!P10+'Dubuque Infra'!U10+'Storm Lake'!W10</f>
        <v>2</v>
      </c>
      <c r="K35" s="371">
        <f>'Storm Lake'!T10</f>
        <v>0</v>
      </c>
      <c r="L35" s="372">
        <f>'Storm Lake'!U10</f>
        <v>0</v>
      </c>
    </row>
    <row r="36" spans="1:12" x14ac:dyDescent="0.25">
      <c r="A36" s="21">
        <v>43282</v>
      </c>
      <c r="B36" s="25">
        <f t="shared" si="2"/>
        <v>33.449567099567105</v>
      </c>
      <c r="C36" s="328">
        <f>C35+B36</f>
        <v>167.24783549783552</v>
      </c>
      <c r="D36" s="13">
        <f t="shared" si="3"/>
        <v>0</v>
      </c>
      <c r="E36" s="13">
        <f t="shared" si="5"/>
        <v>2</v>
      </c>
      <c r="G36" s="334">
        <f>Benton!V11+'Buena Vista'!V11+Fremont!V12+Howard!V12+Iowa!V12+Johnson!V11+Mills!V11+Winneshiek!V12</f>
        <v>33.449567099567105</v>
      </c>
      <c r="H36" s="335">
        <f>Benton!W11+'Buena Vista'!W11+Fremont!W12+Howard!W12+Iowa!W12+Johnson!W11+Mills!W11+Winneshiek!W12</f>
        <v>0</v>
      </c>
      <c r="I36" s="334">
        <f>'Coralville Infra'!O11+'Dubuque Infra'!T11+'Storm Lake'!V11</f>
        <v>0</v>
      </c>
      <c r="J36" s="335">
        <f>'Coralville Infra'!P11+'Dubuque Infra'!U11+'Storm Lake'!W11</f>
        <v>0</v>
      </c>
      <c r="K36" s="371">
        <f>'Storm Lake'!T11</f>
        <v>0</v>
      </c>
      <c r="L36" s="372">
        <f>'Storm Lake'!U11</f>
        <v>0</v>
      </c>
    </row>
    <row r="37" spans="1:12" x14ac:dyDescent="0.25">
      <c r="A37" s="21">
        <v>43374</v>
      </c>
      <c r="B37" s="25">
        <f t="shared" si="2"/>
        <v>33.449567099567105</v>
      </c>
      <c r="C37" s="328">
        <f t="shared" si="4"/>
        <v>200.69740259740263</v>
      </c>
      <c r="D37" s="13">
        <f t="shared" si="3"/>
        <v>0</v>
      </c>
      <c r="E37" s="13">
        <f t="shared" si="5"/>
        <v>2</v>
      </c>
      <c r="G37" s="334">
        <f>Benton!V12+'Buena Vista'!V12+Fremont!V13+Howard!V13+Iowa!V13+Johnson!V12+Mills!V12+Winneshiek!V13</f>
        <v>33.449567099567105</v>
      </c>
      <c r="H37" s="335">
        <f>Benton!W12+'Buena Vista'!W12+Fremont!W13+Howard!W13+Iowa!W13+Johnson!W12+Mills!W12+Winneshiek!W13</f>
        <v>0</v>
      </c>
      <c r="I37" s="334">
        <f>'Coralville Infra'!O12+'Dubuque Infra'!T12+'Storm Lake'!V12</f>
        <v>0</v>
      </c>
      <c r="J37" s="335">
        <f>'Coralville Infra'!P12+'Dubuque Infra'!U12+'Storm Lake'!W12</f>
        <v>0</v>
      </c>
      <c r="K37" s="371">
        <f>'Storm Lake'!T12</f>
        <v>0</v>
      </c>
      <c r="L37" s="372">
        <f>'Storm Lake'!U12</f>
        <v>0</v>
      </c>
    </row>
    <row r="38" spans="1:12" x14ac:dyDescent="0.25">
      <c r="A38" s="21">
        <v>43466</v>
      </c>
      <c r="B38" s="25">
        <f t="shared" si="2"/>
        <v>33.449567099567105</v>
      </c>
      <c r="C38" s="328">
        <f t="shared" si="4"/>
        <v>234.14696969696973</v>
      </c>
      <c r="D38" s="13">
        <f t="shared" si="3"/>
        <v>0</v>
      </c>
      <c r="E38" s="13">
        <f t="shared" si="5"/>
        <v>2</v>
      </c>
      <c r="G38" s="334">
        <f>Benton!V13+'Buena Vista'!V13+Fremont!V14+Howard!V14+Iowa!V14+Johnson!V13+Mills!V13+Winneshiek!V14</f>
        <v>33.449567099567105</v>
      </c>
      <c r="H38" s="335">
        <f>Benton!W13+'Buena Vista'!W13+Fremont!W14+Howard!W14+Iowa!W14+Johnson!W13+Mills!W13+Winneshiek!W14</f>
        <v>0</v>
      </c>
      <c r="I38" s="334">
        <f>'Coralville Infra'!O13+'Dubuque Infra'!T13+'Storm Lake'!V13</f>
        <v>0</v>
      </c>
      <c r="J38" s="335">
        <f>'Coralville Infra'!P13+'Dubuque Infra'!U13+'Storm Lake'!W13</f>
        <v>0</v>
      </c>
      <c r="K38" s="371">
        <f>'Storm Lake'!T13</f>
        <v>0</v>
      </c>
      <c r="L38" s="372">
        <f>'Storm Lake'!U13</f>
        <v>0</v>
      </c>
    </row>
    <row r="39" spans="1:12" x14ac:dyDescent="0.25">
      <c r="A39" s="21">
        <v>43556</v>
      </c>
      <c r="B39" s="25">
        <f t="shared" si="2"/>
        <v>33.449567099567105</v>
      </c>
      <c r="C39" s="328">
        <f t="shared" si="4"/>
        <v>267.59653679653684</v>
      </c>
      <c r="D39" s="13">
        <f t="shared" si="3"/>
        <v>0</v>
      </c>
      <c r="E39" s="13">
        <f t="shared" si="5"/>
        <v>2</v>
      </c>
      <c r="G39" s="334">
        <f>Benton!V14+'Buena Vista'!V14+Fremont!V15+Howard!V15+Iowa!V15+Johnson!V14+Mills!V14+Winneshiek!V15</f>
        <v>33.449567099567105</v>
      </c>
      <c r="H39" s="335">
        <f>Benton!W14+'Buena Vista'!W14+Fremont!W15+Howard!W15+Iowa!W15+Johnson!W14+Mills!W14+Winneshiek!W15</f>
        <v>0</v>
      </c>
      <c r="I39" s="334">
        <f>'Coralville Infra'!O14+'Dubuque Infra'!T14+'Storm Lake'!V14</f>
        <v>0</v>
      </c>
      <c r="J39" s="335">
        <f>'Coralville Infra'!P14+'Dubuque Infra'!U14+'Storm Lake'!W14</f>
        <v>0</v>
      </c>
      <c r="K39" s="371">
        <f>'Storm Lake'!T14</f>
        <v>0</v>
      </c>
      <c r="L39" s="372">
        <f>'Storm Lake'!U14</f>
        <v>0</v>
      </c>
    </row>
    <row r="40" spans="1:12" x14ac:dyDescent="0.25">
      <c r="A40" s="21">
        <v>43647</v>
      </c>
      <c r="B40" s="25">
        <f t="shared" si="2"/>
        <v>33.449567099567105</v>
      </c>
      <c r="C40" s="328">
        <f t="shared" si="4"/>
        <v>301.04610389610394</v>
      </c>
      <c r="D40" s="13">
        <f t="shared" si="3"/>
        <v>0</v>
      </c>
      <c r="E40" s="13">
        <f t="shared" si="5"/>
        <v>2</v>
      </c>
      <c r="G40" s="334">
        <f>Benton!V15+'Buena Vista'!V15+Fremont!V16+Howard!V16+Iowa!V16+Johnson!V15+Mills!V15+Winneshiek!V16</f>
        <v>33.449567099567105</v>
      </c>
      <c r="H40" s="335">
        <f>Benton!W15+'Buena Vista'!W15+Fremont!W16+Howard!W16+Iowa!W16+Johnson!W15+Mills!W15+Winneshiek!W16</f>
        <v>0</v>
      </c>
      <c r="I40" s="334">
        <f>'Coralville Infra'!O15+'Dubuque Infra'!T15+'Storm Lake'!V15</f>
        <v>0</v>
      </c>
      <c r="J40" s="335">
        <f>'Coralville Infra'!P15+'Dubuque Infra'!U15+'Storm Lake'!W15</f>
        <v>0</v>
      </c>
      <c r="K40" s="371">
        <f>'Storm Lake'!T15</f>
        <v>0</v>
      </c>
      <c r="L40" s="372">
        <f>'Storm Lake'!U15</f>
        <v>0</v>
      </c>
    </row>
    <row r="41" spans="1:12" x14ac:dyDescent="0.25">
      <c r="A41" s="21">
        <v>43739</v>
      </c>
      <c r="B41" s="25">
        <f t="shared" si="2"/>
        <v>33.449567099567105</v>
      </c>
      <c r="C41" s="328">
        <f t="shared" si="4"/>
        <v>334.49567099567105</v>
      </c>
      <c r="D41" s="13">
        <f t="shared" si="3"/>
        <v>50</v>
      </c>
      <c r="E41" s="13">
        <f t="shared" si="5"/>
        <v>52</v>
      </c>
      <c r="G41" s="334">
        <f>Benton!V16+'Buena Vista'!V16+Fremont!V17+Howard!V17+Iowa!V17+Johnson!V16+Mills!V16+Winneshiek!V17</f>
        <v>33.449567099567105</v>
      </c>
      <c r="H41" s="335">
        <f>Benton!W16+'Buena Vista'!W16+Fremont!W17+Howard!W17+Iowa!W17+Johnson!W16+Mills!W16+Winneshiek!W17</f>
        <v>50</v>
      </c>
      <c r="I41" s="334">
        <f>'Coralville Infra'!O16+'Dubuque Infra'!T16+'Storm Lake'!V16</f>
        <v>0</v>
      </c>
      <c r="J41" s="335">
        <f>'Coralville Infra'!P16+'Dubuque Infra'!U16+'Storm Lake'!W16</f>
        <v>0</v>
      </c>
      <c r="K41" s="371">
        <f>'Storm Lake'!T16</f>
        <v>0</v>
      </c>
      <c r="L41" s="372">
        <f>'Storm Lake'!U16</f>
        <v>0</v>
      </c>
    </row>
    <row r="42" spans="1:12" x14ac:dyDescent="0.25">
      <c r="A42" s="21">
        <v>43831</v>
      </c>
      <c r="B42" s="25">
        <f t="shared" si="2"/>
        <v>33.449567099567105</v>
      </c>
      <c r="C42" s="328">
        <f t="shared" si="4"/>
        <v>367.94523809523815</v>
      </c>
      <c r="D42" s="13">
        <f t="shared" si="3"/>
        <v>0</v>
      </c>
      <c r="E42" s="13">
        <f t="shared" si="5"/>
        <v>52</v>
      </c>
      <c r="G42" s="334">
        <f>Benton!V17+'Buena Vista'!V17+Fremont!V18+Howard!V18+Iowa!V18+Johnson!V17+Mills!V17+Winneshiek!V18</f>
        <v>33.449567099567105</v>
      </c>
      <c r="H42" s="335">
        <f>Benton!W17+'Buena Vista'!W17+Fremont!W18+Howard!W18+Iowa!W18+Johnson!W17+Mills!W17+Winneshiek!W18</f>
        <v>0</v>
      </c>
      <c r="I42" s="334">
        <f>'Coralville Infra'!O17+'Dubuque Infra'!T17+'Storm Lake'!V17</f>
        <v>0</v>
      </c>
      <c r="J42" s="335">
        <f>'Coralville Infra'!P17+'Dubuque Infra'!U17+'Storm Lake'!W17</f>
        <v>0</v>
      </c>
      <c r="K42" s="371">
        <f>'Storm Lake'!T17</f>
        <v>0</v>
      </c>
      <c r="L42" s="372">
        <f>'Storm Lake'!U17</f>
        <v>0</v>
      </c>
    </row>
    <row r="43" spans="1:12" x14ac:dyDescent="0.25">
      <c r="A43" s="21">
        <v>43922</v>
      </c>
      <c r="B43" s="25">
        <f t="shared" si="2"/>
        <v>33.449567099567105</v>
      </c>
      <c r="C43" s="328">
        <f t="shared" si="4"/>
        <v>401.39480519480526</v>
      </c>
      <c r="D43" s="13">
        <f t="shared" si="3"/>
        <v>75</v>
      </c>
      <c r="E43" s="13">
        <f t="shared" si="5"/>
        <v>127</v>
      </c>
      <c r="G43" s="334">
        <f>Benton!V18+'Buena Vista'!V18+Fremont!V19+Howard!V19+Iowa!V19+Johnson!V18+Mills!V18+Winneshiek!V19</f>
        <v>33.449567099567105</v>
      </c>
      <c r="H43" s="335">
        <f>Benton!W18+'Buena Vista'!W18+Fremont!W19+Howard!W19+Iowa!W19+Johnson!W18+Mills!W18+Winneshiek!W19</f>
        <v>75</v>
      </c>
      <c r="I43" s="334">
        <f>'Coralville Infra'!O18+'Dubuque Infra'!T18+'Storm Lake'!V18</f>
        <v>0</v>
      </c>
      <c r="J43" s="335">
        <f>'Coralville Infra'!P18+'Dubuque Infra'!U18+'Storm Lake'!W18</f>
        <v>0</v>
      </c>
      <c r="K43" s="371">
        <f>'Storm Lake'!T18</f>
        <v>0</v>
      </c>
      <c r="L43" s="372">
        <f>'Storm Lake'!U18</f>
        <v>0</v>
      </c>
    </row>
    <row r="44" spans="1:12" x14ac:dyDescent="0.25">
      <c r="A44" s="21">
        <v>44013</v>
      </c>
      <c r="B44" s="25">
        <f t="shared" si="2"/>
        <v>33.449567099567105</v>
      </c>
      <c r="C44" s="328">
        <f t="shared" si="4"/>
        <v>434.84437229437236</v>
      </c>
      <c r="D44" s="13">
        <f t="shared" si="3"/>
        <v>75</v>
      </c>
      <c r="E44" s="13">
        <f t="shared" si="5"/>
        <v>202</v>
      </c>
      <c r="G44" s="334">
        <f>Benton!V19+'Buena Vista'!V19+Fremont!V20+Howard!V20+Iowa!V20+Johnson!V19+Mills!V19+Winneshiek!V20</f>
        <v>33.449567099567105</v>
      </c>
      <c r="H44" s="335">
        <f>Benton!W19+'Buena Vista'!W19+Fremont!W20+Howard!W20+Iowa!W20+Johnson!W19+Mills!W19+Winneshiek!W20</f>
        <v>75</v>
      </c>
      <c r="I44" s="334">
        <f>'Coralville Infra'!O19+'Dubuque Infra'!T19+'Storm Lake'!V19</f>
        <v>0</v>
      </c>
      <c r="J44" s="335">
        <f>'Coralville Infra'!P19+'Dubuque Infra'!U19+'Storm Lake'!W19</f>
        <v>0</v>
      </c>
      <c r="K44" s="371">
        <f>'Storm Lake'!T19</f>
        <v>0</v>
      </c>
      <c r="L44" s="372">
        <f>'Storm Lake'!U19</f>
        <v>0</v>
      </c>
    </row>
    <row r="45" spans="1:12" x14ac:dyDescent="0.25">
      <c r="A45" s="21">
        <v>44105</v>
      </c>
      <c r="B45" s="25">
        <f t="shared" si="2"/>
        <v>33.449567099567105</v>
      </c>
      <c r="C45" s="328">
        <f t="shared" si="4"/>
        <v>468.29393939393947</v>
      </c>
      <c r="D45" s="13">
        <f t="shared" si="3"/>
        <v>12</v>
      </c>
      <c r="E45" s="13">
        <f t="shared" si="5"/>
        <v>214</v>
      </c>
      <c r="G45" s="334">
        <f>Benton!V20+'Buena Vista'!V20+Fremont!V21+Howard!V21+Iowa!V21+Johnson!V20+Mills!V20+Winneshiek!V21</f>
        <v>33.449567099567105</v>
      </c>
      <c r="H45" s="335">
        <f>Benton!W20+'Buena Vista'!W20+Fremont!W21+Howard!W21+Iowa!W21+Johnson!W20+Mills!W20+Winneshiek!W21</f>
        <v>12</v>
      </c>
      <c r="I45" s="334">
        <f>'Coralville Infra'!O20+'Dubuque Infra'!T20+'Storm Lake'!V20</f>
        <v>0</v>
      </c>
      <c r="J45" s="335">
        <f>'Coralville Infra'!P20+'Dubuque Infra'!U20+'Storm Lake'!W20</f>
        <v>0</v>
      </c>
      <c r="K45" s="371">
        <f>'Storm Lake'!T20</f>
        <v>0</v>
      </c>
      <c r="L45" s="372">
        <f>'Storm Lake'!U20</f>
        <v>0</v>
      </c>
    </row>
    <row r="46" spans="1:12" x14ac:dyDescent="0.25">
      <c r="A46" s="21">
        <v>44197</v>
      </c>
      <c r="B46" s="25">
        <f t="shared" si="2"/>
        <v>33.449567099567105</v>
      </c>
      <c r="C46" s="328">
        <f t="shared" si="4"/>
        <v>501.74350649350657</v>
      </c>
      <c r="D46" s="13">
        <f t="shared" si="3"/>
        <v>8</v>
      </c>
      <c r="E46" s="13">
        <f t="shared" si="5"/>
        <v>222</v>
      </c>
      <c r="G46" s="334">
        <f>Benton!V21+'Buena Vista'!V21+Fremont!V22+Howard!V22+Iowa!V22+Johnson!V21+Mills!V21+Winneshiek!V22</f>
        <v>33.449567099567105</v>
      </c>
      <c r="H46" s="335">
        <f>Benton!W21+'Buena Vista'!W21+Fremont!W22+Howard!W22+Iowa!W22+Johnson!W21+Mills!W21+Winneshiek!W22</f>
        <v>8</v>
      </c>
      <c r="I46" s="334">
        <f>'Coralville Infra'!O21+'Dubuque Infra'!T21+'Storm Lake'!V21</f>
        <v>0</v>
      </c>
      <c r="J46" s="335">
        <f>'Coralville Infra'!P21+'Dubuque Infra'!U21+'Storm Lake'!W21</f>
        <v>0</v>
      </c>
      <c r="K46" s="371">
        <f>'Storm Lake'!T21</f>
        <v>0</v>
      </c>
      <c r="L46" s="372">
        <f>'Storm Lake'!U21</f>
        <v>0</v>
      </c>
    </row>
    <row r="47" spans="1:12" x14ac:dyDescent="0.25">
      <c r="A47" s="21">
        <v>44287</v>
      </c>
      <c r="B47" s="25">
        <f t="shared" si="2"/>
        <v>33.449567099567105</v>
      </c>
      <c r="C47" s="328">
        <f t="shared" si="4"/>
        <v>535.19307359307368</v>
      </c>
      <c r="D47" s="13">
        <f t="shared" si="3"/>
        <v>26</v>
      </c>
      <c r="E47" s="13">
        <f t="shared" si="5"/>
        <v>248</v>
      </c>
      <c r="G47" s="334">
        <f>Benton!V22+'Buena Vista'!V22+Fremont!V23+Howard!V23+Iowa!V23+Johnson!V22+Mills!V22+Winneshiek!V23</f>
        <v>33.449567099567105</v>
      </c>
      <c r="H47" s="335">
        <f>Benton!W22+'Buena Vista'!W22+Fremont!W23+Howard!W23+Iowa!W23+Johnson!W22+Mills!W22+Winneshiek!W23</f>
        <v>26</v>
      </c>
      <c r="I47" s="334">
        <f>'Coralville Infra'!O22+'Dubuque Infra'!T22+'Storm Lake'!V22</f>
        <v>0</v>
      </c>
      <c r="J47" s="335">
        <f>'Coralville Infra'!P22+'Dubuque Infra'!U22+'Storm Lake'!W22</f>
        <v>0</v>
      </c>
      <c r="K47" s="371">
        <f>'Storm Lake'!T22</f>
        <v>0</v>
      </c>
      <c r="L47" s="372">
        <f>'Storm Lake'!U22</f>
        <v>0</v>
      </c>
    </row>
    <row r="48" spans="1:12" x14ac:dyDescent="0.25">
      <c r="A48" s="21">
        <v>44378</v>
      </c>
      <c r="B48" s="25">
        <f t="shared" si="2"/>
        <v>35.449567099567105</v>
      </c>
      <c r="C48" s="328">
        <f t="shared" si="4"/>
        <v>570.64264069264073</v>
      </c>
      <c r="D48" s="13">
        <f t="shared" si="3"/>
        <v>77</v>
      </c>
      <c r="E48" s="13">
        <f t="shared" si="5"/>
        <v>325</v>
      </c>
      <c r="G48" s="334">
        <f>Benton!V23+'Buena Vista'!V23+Fremont!V24+Howard!V24+Iowa!V24+Johnson!V23+Mills!V23+Winneshiek!V24</f>
        <v>33.449567099567105</v>
      </c>
      <c r="H48" s="335">
        <f>Benton!W23+'Buena Vista'!W23+Fremont!W24+Howard!W24+Iowa!W24+Johnson!W23+Mills!W23+Winneshiek!W24</f>
        <v>77</v>
      </c>
      <c r="I48" s="334">
        <f>'Coralville Infra'!O23+'Dubuque Infra'!T23+'Storm Lake'!V23</f>
        <v>2</v>
      </c>
      <c r="J48" s="335">
        <f>'Coralville Infra'!P23+'Dubuque Infra'!U23+'Storm Lake'!W23</f>
        <v>0</v>
      </c>
      <c r="K48" s="371">
        <f>'Storm Lake'!T23</f>
        <v>0</v>
      </c>
      <c r="L48" s="372">
        <f>'Storm Lake'!U23</f>
        <v>0</v>
      </c>
    </row>
    <row r="49" spans="1:12" x14ac:dyDescent="0.25">
      <c r="A49" s="21">
        <v>44470</v>
      </c>
      <c r="B49" s="25">
        <f t="shared" si="2"/>
        <v>33.449567099567105</v>
      </c>
      <c r="C49" s="328">
        <f t="shared" si="4"/>
        <v>604.09220779220777</v>
      </c>
      <c r="D49" s="13">
        <f t="shared" si="3"/>
        <v>81</v>
      </c>
      <c r="E49" s="13">
        <f t="shared" si="5"/>
        <v>406</v>
      </c>
      <c r="G49" s="334">
        <f>Benton!V24+'Buena Vista'!V24+Fremont!V25+Howard!V25+Iowa!V25+Johnson!V24+Mills!V24+Winneshiek!V25</f>
        <v>33.449567099567105</v>
      </c>
      <c r="H49" s="335">
        <f>Benton!W24+'Buena Vista'!W24+Fremont!W25+Howard!W25+Iowa!W25+Johnson!W24+Mills!W24+Winneshiek!W25</f>
        <v>81</v>
      </c>
      <c r="I49" s="334">
        <f>'Coralville Infra'!O24+'Dubuque Infra'!T24+'Storm Lake'!V24</f>
        <v>0</v>
      </c>
      <c r="J49" s="335">
        <f>'Coralville Infra'!P24+'Dubuque Infra'!U24+'Storm Lake'!W24</f>
        <v>0</v>
      </c>
      <c r="K49" s="371">
        <f>'Storm Lake'!T24</f>
        <v>0</v>
      </c>
      <c r="L49" s="372">
        <f>'Storm Lake'!U24</f>
        <v>0</v>
      </c>
    </row>
    <row r="50" spans="1:12" x14ac:dyDescent="0.25">
      <c r="A50" s="21">
        <v>44562</v>
      </c>
      <c r="B50" s="25">
        <f t="shared" si="2"/>
        <v>33.449567099567105</v>
      </c>
      <c r="C50" s="328">
        <f t="shared" si="4"/>
        <v>637.54177489177482</v>
      </c>
      <c r="D50" s="13">
        <f t="shared" si="3"/>
        <v>123</v>
      </c>
      <c r="E50" s="13">
        <f t="shared" si="5"/>
        <v>529</v>
      </c>
      <c r="G50" s="334">
        <f>Benton!V25+'Buena Vista'!V25+Fremont!V26+Howard!V26+Iowa!V26+Johnson!V25+Mills!V25+Winneshiek!V26</f>
        <v>33.449567099567105</v>
      </c>
      <c r="H50" s="335">
        <f>Benton!W25+'Buena Vista'!W25+Fremont!W26+Howard!W26+Iowa!W26+Johnson!W25+Mills!W25+Winneshiek!W26</f>
        <v>123</v>
      </c>
      <c r="I50" s="334">
        <f>'Coralville Infra'!O25+'Dubuque Infra'!T25+'Storm Lake'!V25</f>
        <v>0</v>
      </c>
      <c r="J50" s="335">
        <f>'Coralville Infra'!P25+'Dubuque Infra'!U25+'Storm Lake'!W25</f>
        <v>0</v>
      </c>
      <c r="K50" s="371">
        <f>'Storm Lake'!T25</f>
        <v>0</v>
      </c>
      <c r="L50" s="372">
        <f>'Storm Lake'!U25</f>
        <v>0</v>
      </c>
    </row>
    <row r="51" spans="1:12" x14ac:dyDescent="0.25">
      <c r="A51" s="21">
        <v>44652</v>
      </c>
      <c r="B51" s="25">
        <f t="shared" si="2"/>
        <v>36.449567099567105</v>
      </c>
      <c r="C51" s="328">
        <f t="shared" si="4"/>
        <v>673.99134199134187</v>
      </c>
      <c r="D51" s="13">
        <f t="shared" si="3"/>
        <v>155</v>
      </c>
      <c r="E51" s="13">
        <f t="shared" si="5"/>
        <v>684</v>
      </c>
      <c r="G51" s="334">
        <f>Benton!V26+'Buena Vista'!V26+Fremont!V27+Howard!V27+Iowa!V27+Johnson!V26+Mills!V26+Winneshiek!V27</f>
        <v>33.449567099567105</v>
      </c>
      <c r="H51" s="335">
        <f>Benton!W26+'Buena Vista'!W26+Fremont!W27+Howard!W27+Iowa!W27+Johnson!W26+Mills!W26+Winneshiek!W27</f>
        <v>152</v>
      </c>
      <c r="I51" s="334">
        <f>'Coralville Infra'!O26+'Dubuque Infra'!T26+'Storm Lake'!V26</f>
        <v>3</v>
      </c>
      <c r="J51" s="335">
        <f>'Coralville Infra'!P26+'Dubuque Infra'!U26+'Storm Lake'!W26</f>
        <v>3</v>
      </c>
      <c r="K51" s="371">
        <f>'Storm Lake'!T26</f>
        <v>0</v>
      </c>
      <c r="L51" s="372">
        <f>'Storm Lake'!U26</f>
        <v>0</v>
      </c>
    </row>
    <row r="52" spans="1:12" x14ac:dyDescent="0.25">
      <c r="A52" s="21">
        <v>44743</v>
      </c>
      <c r="B52" s="25">
        <f t="shared" si="2"/>
        <v>20.0995670995671</v>
      </c>
      <c r="C52" s="328">
        <f t="shared" si="4"/>
        <v>694.09090909090901</v>
      </c>
      <c r="D52" s="13">
        <f t="shared" si="3"/>
        <v>3</v>
      </c>
      <c r="E52" s="13">
        <f t="shared" si="5"/>
        <v>687</v>
      </c>
      <c r="G52" s="334">
        <f>Benton!V27+'Buena Vista'!V27+Fremont!V28+Howard!V28+Iowa!V28+Johnson!V27+Mills!V27+Winneshiek!V28</f>
        <v>20.0995670995671</v>
      </c>
      <c r="H52" s="335">
        <f>Benton!W27+'Buena Vista'!W27+Fremont!W28+Howard!W28+Iowa!W28+Johnson!W27+Mills!W27+Winneshiek!W28</f>
        <v>3</v>
      </c>
      <c r="I52" s="334">
        <f>'Coralville Infra'!O27+'Dubuque Infra'!T27+'Storm Lake'!V27</f>
        <v>0</v>
      </c>
      <c r="J52" s="335">
        <f>'Coralville Infra'!P27+'Dubuque Infra'!U27+'Storm Lake'!W27</f>
        <v>0</v>
      </c>
      <c r="K52" s="371">
        <f>'Storm Lake'!T27</f>
        <v>0</v>
      </c>
      <c r="L52" s="372">
        <f>'Storm Lake'!U27</f>
        <v>0</v>
      </c>
    </row>
    <row r="53" spans="1:12" x14ac:dyDescent="0.25">
      <c r="A53" s="21">
        <v>44835</v>
      </c>
      <c r="B53" s="25">
        <f t="shared" si="2"/>
        <v>13.909090909090914</v>
      </c>
      <c r="C53" s="328">
        <f t="shared" si="4"/>
        <v>707.99999999999989</v>
      </c>
      <c r="D53" s="13">
        <f t="shared" si="3"/>
        <v>0</v>
      </c>
      <c r="E53" s="13">
        <f t="shared" si="5"/>
        <v>687</v>
      </c>
      <c r="G53" s="334">
        <f>Benton!V28+'Buena Vista'!V28+Fremont!V29+Howard!V29+Iowa!V29+Johnson!V28+Mills!V28+Winneshiek!V29</f>
        <v>7.9090909090909136</v>
      </c>
      <c r="H53" s="335">
        <f>Benton!W28+'Buena Vista'!W28+Fremont!W29+Howard!W29+Iowa!W29+Johnson!W28+Mills!W28+Winneshiek!W29</f>
        <v>0</v>
      </c>
      <c r="I53" s="334">
        <f>'Coralville Infra'!O28+'Dubuque Infra'!T28+'Storm Lake'!V28</f>
        <v>6</v>
      </c>
      <c r="J53" s="335">
        <f>'Coralville Infra'!P28+'Dubuque Infra'!U28+'Storm Lake'!W28</f>
        <v>0</v>
      </c>
      <c r="K53" s="371">
        <f>'Storm Lake'!T28</f>
        <v>18200</v>
      </c>
      <c r="L53" s="372">
        <f>'Storm Lake'!U28</f>
        <v>0</v>
      </c>
    </row>
    <row r="54" spans="1:12" ht="15.75" thickBot="1" x14ac:dyDescent="0.3">
      <c r="A54" s="21">
        <v>44927</v>
      </c>
      <c r="B54" s="25">
        <f t="shared" si="2"/>
        <v>0</v>
      </c>
      <c r="C54" s="328">
        <f t="shared" si="4"/>
        <v>707.99999999999989</v>
      </c>
      <c r="D54" s="13">
        <f t="shared" si="3"/>
        <v>0</v>
      </c>
      <c r="E54" s="13">
        <f t="shared" si="5"/>
        <v>687</v>
      </c>
      <c r="G54" s="336">
        <f>Benton!V29+'Buena Vista'!V29+Fremont!V30+Howard!V30+Iowa!V30+Johnson!V29+Mills!V29+Winneshiek!V30</f>
        <v>0</v>
      </c>
      <c r="H54" s="337">
        <f>Benton!W29+'Buena Vista'!W29+Fremont!W30+Howard!W30+Iowa!W30+Johnson!W29+Mills!W29+Winneshiek!W30</f>
        <v>0</v>
      </c>
      <c r="I54" s="336">
        <f>'Coralville Infra'!O29+'Dubuque Infra'!T29+'Storm Lake'!V29</f>
        <v>0</v>
      </c>
      <c r="J54" s="337">
        <f>'Coralville Infra'!P29+'Dubuque Infra'!U29+'Storm Lake'!W29</f>
        <v>0</v>
      </c>
      <c r="K54" s="373">
        <f>'Storm Lake'!T29</f>
        <v>0</v>
      </c>
      <c r="L54" s="374">
        <f>'Storm Lake'!U29</f>
        <v>0</v>
      </c>
    </row>
    <row r="55" spans="1:12" ht="15.75" thickTop="1" x14ac:dyDescent="0.25">
      <c r="A55" s="21"/>
      <c r="B55" s="25"/>
      <c r="C55" s="328"/>
      <c r="D55" s="13"/>
      <c r="E55" s="13"/>
      <c r="G55" s="370">
        <f>SUM(G29:G54)</f>
        <v>696.99999999999989</v>
      </c>
      <c r="H55" s="370">
        <f>SUM(H29:H54)</f>
        <v>682</v>
      </c>
      <c r="I55" s="370">
        <f t="shared" ref="I55:L55" si="6">SUM(I29:I54)</f>
        <v>11</v>
      </c>
      <c r="J55" s="370">
        <f t="shared" si="6"/>
        <v>5</v>
      </c>
      <c r="K55" s="370">
        <f t="shared" si="6"/>
        <v>18200</v>
      </c>
      <c r="L55" s="370">
        <f t="shared" si="6"/>
        <v>0</v>
      </c>
    </row>
    <row r="56" spans="1:12" x14ac:dyDescent="0.25">
      <c r="A56" s="21"/>
      <c r="B56" s="25"/>
      <c r="C56" s="328"/>
      <c r="D56" s="13"/>
      <c r="E56" s="13"/>
      <c r="G56" s="13"/>
      <c r="H56" s="13"/>
      <c r="I56" s="13"/>
      <c r="J56" s="13"/>
    </row>
    <row r="57" spans="1:12" x14ac:dyDescent="0.25">
      <c r="A57" s="21"/>
      <c r="B57" s="25"/>
      <c r="C57" s="328"/>
      <c r="D57" s="13"/>
      <c r="E57" s="13"/>
      <c r="G57" s="13"/>
      <c r="H57" s="13"/>
      <c r="I57" s="13"/>
      <c r="J57" s="13"/>
    </row>
    <row r="58" spans="1:12" x14ac:dyDescent="0.25">
      <c r="A58" s="21"/>
      <c r="B58" s="25"/>
      <c r="C58" s="328"/>
      <c r="D58" s="13"/>
      <c r="E58" s="13"/>
      <c r="G58" s="13"/>
      <c r="H58" s="13"/>
      <c r="I58" s="13"/>
      <c r="J58" s="13"/>
    </row>
    <row r="59" spans="1:12" x14ac:dyDescent="0.25">
      <c r="A59" s="21"/>
      <c r="B59" s="25"/>
      <c r="C59" s="328"/>
      <c r="D59" s="13"/>
      <c r="E59" s="13"/>
      <c r="G59" s="13"/>
      <c r="H59" s="13"/>
      <c r="I59" s="13"/>
      <c r="J59" s="13"/>
    </row>
    <row r="60" spans="1:12" x14ac:dyDescent="0.25">
      <c r="A60" s="21"/>
      <c r="B60" s="25"/>
      <c r="C60" s="328"/>
      <c r="D60" s="13"/>
      <c r="E60" s="13"/>
      <c r="G60" s="13"/>
      <c r="H60" s="13"/>
      <c r="I60" s="13"/>
      <c r="J60" s="13"/>
    </row>
    <row r="61" spans="1:12" x14ac:dyDescent="0.25">
      <c r="A61" s="21"/>
      <c r="B61" s="25"/>
      <c r="C61" s="328"/>
      <c r="D61" s="13"/>
      <c r="E61" s="13"/>
      <c r="G61" s="13"/>
      <c r="H61" s="13"/>
      <c r="I61" s="13"/>
      <c r="J61" s="13"/>
    </row>
    <row r="62" spans="1:12" x14ac:dyDescent="0.25">
      <c r="A62" s="21"/>
      <c r="B62" s="25"/>
      <c r="C62" s="328"/>
      <c r="D62" s="13"/>
      <c r="E62" s="13"/>
      <c r="G62" s="13"/>
      <c r="H62" s="13"/>
      <c r="I62" s="13"/>
      <c r="J62" s="13"/>
    </row>
    <row r="63" spans="1:12" x14ac:dyDescent="0.25">
      <c r="A63" s="21"/>
      <c r="B63" s="25"/>
      <c r="C63" s="328"/>
      <c r="D63" s="13"/>
      <c r="E63" s="13"/>
      <c r="G63" s="13"/>
      <c r="H63" s="13"/>
      <c r="I63" s="13"/>
      <c r="J63" s="13"/>
    </row>
    <row r="64" spans="1:12" x14ac:dyDescent="0.25">
      <c r="A64" s="21"/>
      <c r="B64" s="25"/>
      <c r="C64" s="328"/>
      <c r="D64" s="13"/>
      <c r="E64" s="13"/>
      <c r="G64" s="13"/>
      <c r="H64" s="13"/>
      <c r="I64" s="13"/>
      <c r="J64" s="13"/>
    </row>
    <row r="65" spans="1:10" x14ac:dyDescent="0.25">
      <c r="A65" s="21"/>
      <c r="B65" s="25"/>
      <c r="C65" s="328"/>
      <c r="D65" s="13"/>
      <c r="E65" s="13"/>
      <c r="G65" s="13"/>
      <c r="H65" s="13"/>
      <c r="I65" s="13"/>
      <c r="J65" s="13"/>
    </row>
    <row r="66" spans="1:10" x14ac:dyDescent="0.25">
      <c r="A66" s="21"/>
      <c r="B66" s="25"/>
      <c r="C66" s="328"/>
      <c r="D66" s="13"/>
      <c r="E66" s="13"/>
      <c r="G66" s="13"/>
      <c r="H66" s="13"/>
      <c r="I66" s="13"/>
      <c r="J66" s="13"/>
    </row>
    <row r="67" spans="1:10" x14ac:dyDescent="0.25">
      <c r="A67" s="21"/>
      <c r="B67" s="25"/>
      <c r="C67" s="328"/>
      <c r="D67" s="13"/>
      <c r="E67" s="13"/>
      <c r="G67" s="13"/>
      <c r="H67" s="13"/>
      <c r="I67" s="13"/>
      <c r="J67" s="13"/>
    </row>
    <row r="68" spans="1:10" x14ac:dyDescent="0.25">
      <c r="A68" s="21"/>
      <c r="B68" s="25"/>
      <c r="C68" s="328"/>
      <c r="D68" s="13"/>
      <c r="E68" s="13"/>
      <c r="G68" s="13"/>
      <c r="H68" s="13"/>
      <c r="I68" s="13"/>
      <c r="J68" s="13"/>
    </row>
    <row r="69" spans="1:10" x14ac:dyDescent="0.25">
      <c r="A69" s="21"/>
      <c r="B69" s="25"/>
      <c r="C69" s="328"/>
      <c r="D69" s="13"/>
      <c r="E69" s="13"/>
      <c r="G69" s="13"/>
      <c r="H69" s="13"/>
      <c r="I69" s="13"/>
      <c r="J69" s="13"/>
    </row>
    <row r="70" spans="1:10" x14ac:dyDescent="0.25">
      <c r="A70" s="21"/>
      <c r="B70" s="25"/>
      <c r="C70" s="328"/>
      <c r="D70" s="13"/>
      <c r="E70" s="13"/>
      <c r="G70" s="13"/>
      <c r="H70" s="13"/>
      <c r="I70" s="13"/>
      <c r="J70" s="13"/>
    </row>
    <row r="71" spans="1:10" x14ac:dyDescent="0.25">
      <c r="A71" s="21"/>
      <c r="B71" s="25"/>
      <c r="C71" s="328"/>
      <c r="D71" s="13"/>
      <c r="E71" s="13"/>
      <c r="G71" s="13"/>
      <c r="H71" s="13"/>
      <c r="I71" s="13"/>
      <c r="J71" s="13"/>
    </row>
    <row r="79" spans="1:10" ht="45" x14ac:dyDescent="0.25">
      <c r="A79" s="329" t="s">
        <v>10</v>
      </c>
      <c r="B79" s="326" t="s">
        <v>11</v>
      </c>
      <c r="C79" s="326" t="s">
        <v>12</v>
      </c>
      <c r="D79" s="326" t="s">
        <v>13</v>
      </c>
      <c r="E79" s="326" t="s">
        <v>14</v>
      </c>
    </row>
    <row r="80" spans="1:10" x14ac:dyDescent="0.25">
      <c r="A80" s="21">
        <v>42644</v>
      </c>
      <c r="B80" s="25">
        <f>HSEMD!M4+'Univ of Iowa'!I4+'Iowa DNR'!I4+'Univ of N Iowa'!I4+'Iowa State Univ'!I4+IDALS!I4+Benton!X4+'Buena Vista'!X4+Fremont!X5+Howard!X5+Iowa!X5+Johnson!X4+Mills!X4+Winneshiek!X5+'Dubuque Infra'!V4</f>
        <v>0</v>
      </c>
      <c r="C80" s="25">
        <f>H80+J80</f>
        <v>0</v>
      </c>
      <c r="D80" s="13">
        <f>HSEMD!N4+'Univ of Iowa'!J4+'Iowa DNR'!J4+'Univ of N Iowa'!J4+'Iowa State Univ'!J4+IDALS!J4+Benton!Y4+'Buena Vista'!Y4+Fremont!Y5+Howard!Y5+Iowa!Y5+Johnson!Y4+Mills!Y4+Winneshiek!Y5+'Dubuque Infra'!W4</f>
        <v>7</v>
      </c>
      <c r="E80" s="13">
        <f>D80</f>
        <v>7</v>
      </c>
    </row>
    <row r="81" spans="1:5" x14ac:dyDescent="0.25">
      <c r="A81" s="21">
        <v>42736</v>
      </c>
      <c r="B81" s="25">
        <f>HSEMD!M5+'Univ of Iowa'!I5+'Iowa DNR'!I5+'Univ of N Iowa'!I5+'Iowa State Univ'!I5+IDALS!I5+Benton!X5+'Buena Vista'!X5+Fremont!X6+Howard!X6+Iowa!X6+Johnson!X5+Mills!X5+Winneshiek!X6+'Dubuque Infra'!V5</f>
        <v>0</v>
      </c>
      <c r="C81" s="328">
        <f>C80+B81</f>
        <v>0</v>
      </c>
      <c r="D81" s="13">
        <f>HSEMD!N5+'Univ of Iowa'!J5+'Iowa DNR'!J5+'Univ of N Iowa'!J5+'Iowa State Univ'!J5+IDALS!J5+Benton!Y5+'Buena Vista'!Y5+Fremont!Y6+Howard!Y6+Iowa!Y6+Johnson!Y5+Mills!Y5+Winneshiek!Y6+'Dubuque Infra'!W5</f>
        <v>9</v>
      </c>
      <c r="E81" s="13">
        <f>E80+D81</f>
        <v>16</v>
      </c>
    </row>
    <row r="82" spans="1:5" x14ac:dyDescent="0.25">
      <c r="A82" s="21">
        <v>42826</v>
      </c>
      <c r="B82" s="25">
        <f>HSEMD!M6+'Univ of Iowa'!I6+'Iowa DNR'!I6+'Univ of N Iowa'!I6+'Iowa State Univ'!I6+IDALS!I6+Benton!X6+'Buena Vista'!X6+Fremont!X7+Howard!X7+Iowa!X7+Johnson!X6+Mills!X6+Winneshiek!X7+'Dubuque Infra'!V6</f>
        <v>1</v>
      </c>
      <c r="C82" s="328">
        <f t="shared" ref="C82:C86" si="7">C81+B82</f>
        <v>1</v>
      </c>
      <c r="D82" s="13">
        <f>HSEMD!N6+'Univ of Iowa'!J6+'Iowa DNR'!J6+'Univ of N Iowa'!J6+'Iowa State Univ'!J6+IDALS!J6+Benton!Y6+'Buena Vista'!Y6+Fremont!Y7+Howard!Y7+Iowa!Y7+Johnson!Y6+Mills!Y6+Winneshiek!Y7+'Dubuque Infra'!W6</f>
        <v>11</v>
      </c>
      <c r="E82" s="13">
        <f t="shared" ref="E82:E104" si="8">E81+D82</f>
        <v>27</v>
      </c>
    </row>
    <row r="83" spans="1:5" x14ac:dyDescent="0.25">
      <c r="A83" s="21">
        <v>42917</v>
      </c>
      <c r="B83" s="25">
        <f>HSEMD!M7+'Univ of Iowa'!I7+'Iowa DNR'!I7+'Univ of N Iowa'!I7+'Iowa State Univ'!I7+IDALS!I7+Benton!X7+'Buena Vista'!X7+Fremont!X8+Howard!X8+Iowa!X8+Johnson!X7+Mills!X7+Winneshiek!X8+'Dubuque Infra'!V7</f>
        <v>0</v>
      </c>
      <c r="C83" s="328">
        <f t="shared" si="7"/>
        <v>1</v>
      </c>
      <c r="D83" s="13">
        <f>HSEMD!N7+'Univ of Iowa'!J7+'Iowa DNR'!J7+'Univ of N Iowa'!J7+'Iowa State Univ'!J7+IDALS!J7+Benton!Y7+'Buena Vista'!Y7+Fremont!Y8+Howard!Y8+Iowa!Y8+Johnson!Y7+Mills!Y7+Winneshiek!Y8+'Dubuque Infra'!W7</f>
        <v>10</v>
      </c>
      <c r="E83" s="13">
        <f t="shared" si="8"/>
        <v>37</v>
      </c>
    </row>
    <row r="84" spans="1:5" x14ac:dyDescent="0.25">
      <c r="A84" s="21">
        <v>43009</v>
      </c>
      <c r="B84" s="25">
        <f>HSEMD!M8+'Univ of Iowa'!I8+'Iowa DNR'!I8+'Univ of N Iowa'!I8+'Iowa State Univ'!I8+IDALS!I8+Benton!X8+'Buena Vista'!X8+Fremont!X9+Howard!X9+Iowa!X9+Johnson!X8+Mills!X8+Winneshiek!X9+'Dubuque Infra'!V8</f>
        <v>0</v>
      </c>
      <c r="C84" s="328">
        <f t="shared" si="7"/>
        <v>1</v>
      </c>
      <c r="D84" s="13">
        <f>HSEMD!N8+'Univ of Iowa'!J8+'Iowa DNR'!J8+'Univ of N Iowa'!J8+'Iowa State Univ'!J8+IDALS!J8+Benton!Y8+'Buena Vista'!Y8+Fremont!Y9+Howard!Y9+Iowa!Y9+Johnson!Y8+Mills!Y8+Winneshiek!Y9+'Dubuque Infra'!W8</f>
        <v>6</v>
      </c>
      <c r="E84" s="13">
        <f t="shared" si="8"/>
        <v>43</v>
      </c>
    </row>
    <row r="85" spans="1:5" x14ac:dyDescent="0.25">
      <c r="A85" s="21">
        <v>43101</v>
      </c>
      <c r="B85" s="25">
        <f>HSEMD!M9+'Univ of Iowa'!I9+'Iowa DNR'!I9+'Univ of N Iowa'!I9+'Iowa State Univ'!I9+IDALS!I9+Benton!X9+'Buena Vista'!X9+Fremont!X10+Howard!X10+Iowa!X10+Johnson!X9+Mills!X9+Winneshiek!X10+'Dubuque Infra'!V9</f>
        <v>0</v>
      </c>
      <c r="C85" s="328">
        <f t="shared" si="7"/>
        <v>1</v>
      </c>
      <c r="D85" s="13">
        <f>HSEMD!N9+'Univ of Iowa'!J9+'Iowa DNR'!J9+'Univ of N Iowa'!J9+'Iowa State Univ'!J9+IDALS!J9+Benton!Y9+'Buena Vista'!Y9+Fremont!Y10+Howard!Y10+Iowa!Y10+Johnson!Y9+Mills!Y9+Winneshiek!Y10+'Dubuque Infra'!W9</f>
        <v>12</v>
      </c>
      <c r="E85" s="13">
        <f t="shared" si="8"/>
        <v>55</v>
      </c>
    </row>
    <row r="86" spans="1:5" x14ac:dyDescent="0.25">
      <c r="A86" s="21">
        <v>43191</v>
      </c>
      <c r="B86" s="25">
        <f>HSEMD!M10+'Univ of Iowa'!I10+'Iowa DNR'!I10+'Univ of N Iowa'!I10+'Iowa State Univ'!I10+IDALS!I10+Benton!X10+'Buena Vista'!X10+Fremont!X11+Howard!X11+Iowa!X11+Johnson!X10+Mills!X10+Winneshiek!X11+'Dubuque Infra'!V10</f>
        <v>0</v>
      </c>
      <c r="C86" s="328">
        <f t="shared" si="7"/>
        <v>1</v>
      </c>
      <c r="D86" s="13">
        <f>HSEMD!N10+'Univ of Iowa'!J10+'Iowa DNR'!J10+'Univ of N Iowa'!J10+'Iowa State Univ'!J10+IDALS!J10+Benton!Y10+'Buena Vista'!Y10+Fremont!Y11+Howard!Y11+Iowa!Y11+Johnson!Y10+Mills!Y10+Winneshiek!Y11+'Dubuque Infra'!W10</f>
        <v>5</v>
      </c>
      <c r="E86" s="13">
        <f t="shared" si="8"/>
        <v>60</v>
      </c>
    </row>
    <row r="87" spans="1:5" x14ac:dyDescent="0.25">
      <c r="A87" s="21">
        <v>43282</v>
      </c>
      <c r="B87" s="25">
        <f>HSEMD!M11+'Univ of Iowa'!I11+'Iowa DNR'!I11+'Univ of N Iowa'!I11+'Iowa State Univ'!I11+IDALS!I11+Benton!X11+'Buena Vista'!X11+Fremont!X12+Howard!X12+Iowa!X12+Johnson!X11+Mills!X11+Winneshiek!X12+'Dubuque Infra'!V11</f>
        <v>0</v>
      </c>
      <c r="C87" s="328">
        <f>C86+B87</f>
        <v>1</v>
      </c>
      <c r="D87" s="13">
        <f>HSEMD!N11+'Univ of Iowa'!J11+'Iowa DNR'!J11+'Univ of N Iowa'!J11+'Iowa State Univ'!J11+IDALS!J11+Benton!Y11+'Buena Vista'!Y11+Fremont!Y12+Howard!Y12+Iowa!Y12+Johnson!Y11+Mills!Y11+Winneshiek!Y12+'Dubuque Infra'!W11</f>
        <v>22</v>
      </c>
      <c r="E87" s="13">
        <f t="shared" si="8"/>
        <v>82</v>
      </c>
    </row>
    <row r="88" spans="1:5" x14ac:dyDescent="0.25">
      <c r="A88" s="21">
        <v>43374</v>
      </c>
      <c r="B88" s="25">
        <f>HSEMD!M12+'Univ of Iowa'!I12+'Iowa DNR'!I12+'Univ of N Iowa'!I12+'Iowa State Univ'!I12+IDALS!I12+Benton!X12+'Buena Vista'!X12+Fremont!X13+Howard!X13+Iowa!X13+Johnson!X12+Mills!X12+Winneshiek!X13+'Dubuque Infra'!V12</f>
        <v>0</v>
      </c>
      <c r="C88" s="328">
        <f t="shared" ref="C88:C104" si="9">C87+B88</f>
        <v>1</v>
      </c>
      <c r="D88" s="13">
        <f>HSEMD!N12+'Univ of Iowa'!J12+'Iowa DNR'!J12+'Univ of N Iowa'!J12+'Iowa State Univ'!J12+IDALS!J12+Benton!Y12+'Buena Vista'!Y12+Fremont!Y13+Howard!Y13+Iowa!Y13+Johnson!Y12+Mills!Y12+Winneshiek!Y13+'Dubuque Infra'!W12</f>
        <v>41</v>
      </c>
      <c r="E88" s="13">
        <f t="shared" si="8"/>
        <v>123</v>
      </c>
    </row>
    <row r="89" spans="1:5" x14ac:dyDescent="0.25">
      <c r="A89" s="21">
        <v>43466</v>
      </c>
      <c r="B89" s="25">
        <f>HSEMD!M13+'Univ of Iowa'!I13+'Iowa DNR'!I13+'Univ of N Iowa'!I13+'Iowa State Univ'!I13+IDALS!I13+Benton!X13+'Buena Vista'!X13+Fremont!X14+Howard!X14+Iowa!X14+Johnson!X13+Mills!X13+Winneshiek!X14+'Dubuque Infra'!V13</f>
        <v>0</v>
      </c>
      <c r="C89" s="328">
        <f t="shared" si="9"/>
        <v>1</v>
      </c>
      <c r="D89" s="13">
        <f>HSEMD!N13+'Univ of Iowa'!J13+'Iowa DNR'!J13+'Univ of N Iowa'!J13+'Iowa State Univ'!J13+IDALS!J13+Benton!Y13+'Buena Vista'!Y13+Fremont!Y14+Howard!Y14+Iowa!Y14+Johnson!Y13+Mills!Y13+Winneshiek!Y14+'Dubuque Infra'!W13</f>
        <v>7</v>
      </c>
      <c r="E89" s="13">
        <f t="shared" si="8"/>
        <v>130</v>
      </c>
    </row>
    <row r="90" spans="1:5" x14ac:dyDescent="0.25">
      <c r="A90" s="21">
        <v>43556</v>
      </c>
      <c r="B90" s="25">
        <f>HSEMD!M14+'Univ of Iowa'!I14+'Iowa DNR'!I14+'Univ of N Iowa'!I14+'Iowa State Univ'!I14+IDALS!I14+Benton!X14+'Buena Vista'!X14+Fremont!X15+Howard!X15+Iowa!X15+Johnson!X14+Mills!X14+Winneshiek!X15+'Dubuque Infra'!V14</f>
        <v>0</v>
      </c>
      <c r="C90" s="328">
        <f t="shared" si="9"/>
        <v>1</v>
      </c>
      <c r="D90" s="13">
        <f>HSEMD!N14+'Univ of Iowa'!J14+'Iowa DNR'!J14+'Univ of N Iowa'!J14+'Iowa State Univ'!J14+IDALS!J14+Benton!Y14+'Buena Vista'!Y14+Fremont!Y15+Howard!Y15+Iowa!Y15+Johnson!Y14+Mills!Y14+Winneshiek!Y15+'Dubuque Infra'!W14</f>
        <v>15</v>
      </c>
      <c r="E90" s="13">
        <f t="shared" si="8"/>
        <v>145</v>
      </c>
    </row>
    <row r="91" spans="1:5" x14ac:dyDescent="0.25">
      <c r="A91" s="21">
        <v>43647</v>
      </c>
      <c r="B91" s="25">
        <f>HSEMD!M15+'Univ of Iowa'!I15+'Iowa DNR'!I15+'Univ of N Iowa'!I15+'Iowa State Univ'!I15+IDALS!I15+Benton!X15+'Buena Vista'!X15+Fremont!X16+Howard!X16+Iowa!X16+Johnson!X15+Mills!X15+Winneshiek!X16+'Dubuque Infra'!V15</f>
        <v>0</v>
      </c>
      <c r="C91" s="328">
        <f t="shared" si="9"/>
        <v>1</v>
      </c>
      <c r="D91" s="13">
        <f>HSEMD!N15+'Univ of Iowa'!J15+'Iowa DNR'!J15+'Univ of N Iowa'!J15+'Iowa State Univ'!J15+IDALS!J15+Benton!Y15+'Buena Vista'!Y15+Fremont!Y16+Howard!Y16+Iowa!Y16+Johnson!Y15+Mills!Y15+Winneshiek!Y16+'Dubuque Infra'!W15</f>
        <v>8</v>
      </c>
      <c r="E91" s="13">
        <f t="shared" si="8"/>
        <v>153</v>
      </c>
    </row>
    <row r="92" spans="1:5" x14ac:dyDescent="0.25">
      <c r="A92" s="21">
        <v>43739</v>
      </c>
      <c r="B92" s="25">
        <f>HSEMD!M16+'Univ of Iowa'!I16+'Iowa DNR'!I16+'Univ of N Iowa'!I16+'Iowa State Univ'!I16+IDALS!I16+Benton!X16+'Buena Vista'!X16+Fremont!X17+Howard!X17+Iowa!X17+Johnson!X16+Mills!X16+Winneshiek!X17+'Dubuque Infra'!V16</f>
        <v>0</v>
      </c>
      <c r="C92" s="328">
        <f t="shared" si="9"/>
        <v>1</v>
      </c>
      <c r="D92" s="13">
        <f>HSEMD!N16+'Univ of Iowa'!J16+'Iowa DNR'!J16+'Univ of N Iowa'!J16+'Iowa State Univ'!J16+IDALS!J16+Benton!Y16+'Buena Vista'!Y16+Fremont!Y17+Howard!Y17+Iowa!Y17+Johnson!Y16+Mills!Y16+Winneshiek!Y17+'Dubuque Infra'!W16</f>
        <v>9</v>
      </c>
      <c r="E92" s="13">
        <f t="shared" si="8"/>
        <v>162</v>
      </c>
    </row>
    <row r="93" spans="1:5" x14ac:dyDescent="0.25">
      <c r="A93" s="21">
        <v>43831</v>
      </c>
      <c r="B93" s="25">
        <f>HSEMD!M17+'Univ of Iowa'!I17+'Iowa DNR'!I17+'Univ of N Iowa'!I17+'Iowa State Univ'!I17+IDALS!I17+Benton!X17+'Buena Vista'!X17+Fremont!X18+Howard!X18+Iowa!X18+Johnson!X17+Mills!X17+Winneshiek!X18+'Dubuque Infra'!V17</f>
        <v>6</v>
      </c>
      <c r="C93" s="328">
        <f t="shared" si="9"/>
        <v>7</v>
      </c>
      <c r="D93" s="13">
        <f>HSEMD!N17+'Univ of Iowa'!J17+'Iowa DNR'!J17+'Univ of N Iowa'!J17+'Iowa State Univ'!J17+IDALS!J17+Benton!Y17+'Buena Vista'!Y17+Fremont!Y18+Howard!Y18+Iowa!Y18+Johnson!Y17+Mills!Y17+Winneshiek!Y18+'Dubuque Infra'!W17</f>
        <v>7</v>
      </c>
      <c r="E93" s="13">
        <f t="shared" si="8"/>
        <v>169</v>
      </c>
    </row>
    <row r="94" spans="1:5" x14ac:dyDescent="0.25">
      <c r="A94" s="21">
        <v>43922</v>
      </c>
      <c r="B94" s="25">
        <f>HSEMD!M18+'Univ of Iowa'!I18+'Iowa DNR'!I18+'Univ of N Iowa'!I18+'Iowa State Univ'!I18+IDALS!I18+Benton!X18+'Buena Vista'!X18+Fremont!X19+Howard!X19+Iowa!X19+Johnson!X18+Mills!X18+Winneshiek!X19+'Dubuque Infra'!V18</f>
        <v>2</v>
      </c>
      <c r="C94" s="328">
        <f t="shared" si="9"/>
        <v>9</v>
      </c>
      <c r="D94" s="13">
        <f>HSEMD!N18+'Univ of Iowa'!J18+'Iowa DNR'!J18+'Univ of N Iowa'!J18+'Iowa State Univ'!J18+IDALS!J18+Benton!Y18+'Buena Vista'!Y18+Fremont!Y19+Howard!Y19+Iowa!Y19+Johnson!Y18+Mills!Y18+Winneshiek!Y19+'Dubuque Infra'!W18</f>
        <v>15</v>
      </c>
      <c r="E94" s="13">
        <f t="shared" si="8"/>
        <v>184</v>
      </c>
    </row>
    <row r="95" spans="1:5" x14ac:dyDescent="0.25">
      <c r="A95" s="21">
        <v>44013</v>
      </c>
      <c r="B95" s="25">
        <f>HSEMD!M19+'Univ of Iowa'!I19+'Iowa DNR'!I19+'Univ of N Iowa'!I19+'Iowa State Univ'!I19+IDALS!I19+Benton!X19+'Buena Vista'!X19+Fremont!X20+Howard!X20+Iowa!X20+Johnson!X19+Mills!X19+Winneshiek!X20+'Dubuque Infra'!V19</f>
        <v>0</v>
      </c>
      <c r="C95" s="328">
        <f t="shared" si="9"/>
        <v>9</v>
      </c>
      <c r="D95" s="13">
        <f>HSEMD!N19+'Univ of Iowa'!J19+'Iowa DNR'!J19+'Univ of N Iowa'!J19+'Iowa State Univ'!J19+IDALS!J19+Benton!Y19+'Buena Vista'!Y19+Fremont!Y20+Howard!Y20+Iowa!Y20+Johnson!Y19+Mills!Y19+Winneshiek!Y20+'Dubuque Infra'!W19</f>
        <v>5</v>
      </c>
      <c r="E95" s="13">
        <f t="shared" si="8"/>
        <v>189</v>
      </c>
    </row>
    <row r="96" spans="1:5" x14ac:dyDescent="0.25">
      <c r="A96" s="21">
        <v>44105</v>
      </c>
      <c r="B96" s="25">
        <f>HSEMD!M20+'Univ of Iowa'!I20+'Iowa DNR'!I20+'Univ of N Iowa'!I20+'Iowa State Univ'!I20+IDALS!I20+Benton!X20+'Buena Vista'!X20+Fremont!X21+Howard!X21+Iowa!X21+Johnson!X20+Mills!X20+Winneshiek!X21+'Dubuque Infra'!V20</f>
        <v>0</v>
      </c>
      <c r="C96" s="328">
        <f t="shared" si="9"/>
        <v>9</v>
      </c>
      <c r="D96" s="13">
        <f>HSEMD!N20+'Univ of Iowa'!J20+'Iowa DNR'!J20+'Univ of N Iowa'!J20+'Iowa State Univ'!J20+IDALS!J20+Benton!Y20+'Buena Vista'!Y20+Fremont!Y21+Howard!Y21+Iowa!Y21+Johnson!Y20+Mills!Y20+Winneshiek!Y21+'Dubuque Infra'!W20</f>
        <v>16</v>
      </c>
      <c r="E96" s="13">
        <f t="shared" si="8"/>
        <v>205</v>
      </c>
    </row>
    <row r="97" spans="1:5" x14ac:dyDescent="0.25">
      <c r="A97" s="21">
        <v>44197</v>
      </c>
      <c r="B97" s="25">
        <f>HSEMD!M21+'Univ of Iowa'!I21+'Iowa DNR'!I21+'Univ of N Iowa'!I21+'Iowa State Univ'!I21+IDALS!I21+Benton!X21+'Buena Vista'!X21+Fremont!X22+Howard!X22+Iowa!X22+Johnson!X21+Mills!X21+Winneshiek!X22+'Dubuque Infra'!V21</f>
        <v>200</v>
      </c>
      <c r="C97" s="328">
        <f t="shared" si="9"/>
        <v>209</v>
      </c>
      <c r="D97" s="13">
        <f>HSEMD!N21+'Univ of Iowa'!J21+'Iowa DNR'!J21+'Univ of N Iowa'!J21+'Iowa State Univ'!J21+IDALS!J21+Benton!Y21+'Buena Vista'!Y21+Fremont!Y22+Howard!Y22+Iowa!Y22+Johnson!Y21+Mills!Y21+Winneshiek!Y22+'Dubuque Infra'!W21</f>
        <v>6</v>
      </c>
      <c r="E97" s="13">
        <f t="shared" si="8"/>
        <v>211</v>
      </c>
    </row>
    <row r="98" spans="1:5" x14ac:dyDescent="0.25">
      <c r="A98" s="21">
        <v>44287</v>
      </c>
      <c r="B98" s="25">
        <f>HSEMD!M22+'Univ of Iowa'!I22+'Iowa DNR'!I22+'Univ of N Iowa'!I22+'Iowa State Univ'!I22+IDALS!I22+Benton!X22+'Buena Vista'!X22+Fremont!X23+Howard!X23+Iowa!X23+Johnson!X22+Mills!X22+Winneshiek!X23+'Dubuque Infra'!V22</f>
        <v>15</v>
      </c>
      <c r="C98" s="328">
        <f t="shared" si="9"/>
        <v>224</v>
      </c>
      <c r="D98" s="13">
        <f>HSEMD!N22+'Univ of Iowa'!J22+'Iowa DNR'!J22+'Univ of N Iowa'!J22+'Iowa State Univ'!J22+IDALS!J22+Benton!Y22+'Buena Vista'!Y22+Fremont!Y23+Howard!Y23+Iowa!Y23+Johnson!Y22+Mills!Y22+Winneshiek!Y23+'Dubuque Infra'!W22</f>
        <v>15</v>
      </c>
      <c r="E98" s="13">
        <f t="shared" si="8"/>
        <v>226</v>
      </c>
    </row>
    <row r="99" spans="1:5" x14ac:dyDescent="0.25">
      <c r="A99" s="21">
        <v>44378</v>
      </c>
      <c r="B99" s="25">
        <f>HSEMD!M23+'Univ of Iowa'!I23+'Iowa DNR'!I23+'Univ of N Iowa'!I23+'Iowa State Univ'!I23+IDALS!I23+Benton!X23+'Buena Vista'!X23+Fremont!X24+Howard!X24+Iowa!X24+Johnson!X23+Mills!X23+Winneshiek!X24+'Dubuque Infra'!V23</f>
        <v>7</v>
      </c>
      <c r="C99" s="328">
        <f t="shared" si="9"/>
        <v>231</v>
      </c>
      <c r="D99" s="13">
        <f>HSEMD!N23+'Univ of Iowa'!J23+'Iowa DNR'!J23+'Univ of N Iowa'!J23+'Iowa State Univ'!J23+IDALS!J23+Benton!Y23+'Buena Vista'!Y23+Fremont!Y24+Howard!Y24+Iowa!Y24+Johnson!Y23+Mills!Y23+Winneshiek!Y24+'Dubuque Infra'!W23</f>
        <v>54</v>
      </c>
      <c r="E99" s="13">
        <f t="shared" si="8"/>
        <v>280</v>
      </c>
    </row>
    <row r="100" spans="1:5" x14ac:dyDescent="0.25">
      <c r="A100" s="21">
        <v>44470</v>
      </c>
      <c r="B100" s="25">
        <f>HSEMD!M24+'Univ of Iowa'!I24+'Iowa DNR'!I24+'Univ of N Iowa'!I24+'Iowa State Univ'!I24+IDALS!I24+Benton!X24+'Buena Vista'!X24+Fremont!X25+Howard!X25+Iowa!X25+Johnson!X24+Mills!X24+Winneshiek!X25+'Dubuque Infra'!V24</f>
        <v>8</v>
      </c>
      <c r="C100" s="328">
        <f t="shared" si="9"/>
        <v>239</v>
      </c>
      <c r="D100" s="13">
        <f>HSEMD!N24+'Univ of Iowa'!J24+'Iowa DNR'!J24+'Univ of N Iowa'!J24+'Iowa State Univ'!J24+IDALS!J24+Benton!Y24+'Buena Vista'!Y24+Fremont!Y25+Howard!Y25+Iowa!Y25+Johnson!Y24+Mills!Y24+Winneshiek!Y25+'Dubuque Infra'!W24</f>
        <v>9</v>
      </c>
      <c r="E100" s="13">
        <f t="shared" si="8"/>
        <v>289</v>
      </c>
    </row>
    <row r="101" spans="1:5" x14ac:dyDescent="0.25">
      <c r="A101" s="21">
        <v>44562</v>
      </c>
      <c r="B101" s="25">
        <f>HSEMD!M25+'Univ of Iowa'!I25+'Iowa DNR'!I25+'Univ of N Iowa'!I25+'Iowa State Univ'!I25+IDALS!I25+Benton!X25+'Buena Vista'!X25+Fremont!X26+Howard!X26+Iowa!X26+Johnson!X25+Mills!X25+Winneshiek!X26+'Dubuque Infra'!V25</f>
        <v>0</v>
      </c>
      <c r="C101" s="328">
        <f t="shared" si="9"/>
        <v>239</v>
      </c>
      <c r="D101" s="13">
        <f>HSEMD!N25+'Univ of Iowa'!J25+'Iowa DNR'!J25+'Univ of N Iowa'!J25+'Iowa State Univ'!J25+IDALS!J25+Benton!Y25+'Buena Vista'!Y25+Fremont!Y26+Howard!Y26+Iowa!Y26+Johnson!Y25+Mills!Y25+Winneshiek!Y26+'Dubuque Infra'!W25</f>
        <v>0</v>
      </c>
      <c r="E101" s="13">
        <f t="shared" si="8"/>
        <v>289</v>
      </c>
    </row>
    <row r="102" spans="1:5" x14ac:dyDescent="0.25">
      <c r="A102" s="21">
        <v>44652</v>
      </c>
      <c r="B102" s="25">
        <f>HSEMD!M26+'Univ of Iowa'!I26+'Iowa DNR'!I26+'Univ of N Iowa'!I26+'Iowa State Univ'!I26+IDALS!I26+Benton!X26+'Buena Vista'!X26+Fremont!X27+Howard!X27+Iowa!X27+Johnson!X26+Mills!X26+Winneshiek!X27+'Dubuque Infra'!V26</f>
        <v>0</v>
      </c>
      <c r="C102" s="328">
        <f t="shared" si="9"/>
        <v>239</v>
      </c>
      <c r="D102" s="13">
        <f>HSEMD!N26+'Univ of Iowa'!J26+'Iowa DNR'!J26+'Univ of N Iowa'!J26+'Iowa State Univ'!J26+IDALS!J26+Benton!Y26+'Buena Vista'!Y26+Fremont!Y27+Howard!Y27+Iowa!Y27+Johnson!Y26+Mills!Y26+Winneshiek!Y27+'Dubuque Infra'!W26</f>
        <v>0</v>
      </c>
      <c r="E102" s="13">
        <f t="shared" si="8"/>
        <v>289</v>
      </c>
    </row>
    <row r="103" spans="1:5" x14ac:dyDescent="0.25">
      <c r="A103" s="21">
        <v>44743</v>
      </c>
      <c r="B103" s="25">
        <f>HSEMD!M27+'Univ of Iowa'!I27+'Iowa DNR'!I27+'Univ of N Iowa'!I27+'Iowa State Univ'!I27+IDALS!I27+Benton!X27+'Buena Vista'!X27+Fremont!X28+Howard!X28+Iowa!X28+Johnson!X27+Mills!X27+Winneshiek!X28+'Dubuque Infra'!V27</f>
        <v>0</v>
      </c>
      <c r="C103" s="328">
        <f t="shared" si="9"/>
        <v>239</v>
      </c>
      <c r="D103" s="13">
        <f>HSEMD!N27+'Univ of Iowa'!J27+'Iowa DNR'!J27+'Univ of N Iowa'!J27+'Iowa State Univ'!J27+IDALS!J27+Benton!Y27+'Buena Vista'!Y27+Fremont!Y28+Howard!Y28+Iowa!Y28+Johnson!Y27+Mills!Y27+Winneshiek!Y28+'Dubuque Infra'!W27</f>
        <v>19</v>
      </c>
      <c r="E103" s="13">
        <f t="shared" si="8"/>
        <v>308</v>
      </c>
    </row>
    <row r="104" spans="1:5" x14ac:dyDescent="0.25">
      <c r="A104" s="21">
        <v>44835</v>
      </c>
      <c r="B104" s="25">
        <f>HSEMD!M28+'Univ of Iowa'!I28+'Iowa DNR'!I28+'Univ of N Iowa'!I28+'Iowa State Univ'!I28+IDALS!I28+Benton!X28+'Buena Vista'!X28+Fremont!X29+Howard!X29+Iowa!X29+Johnson!X28+Mills!X28+Winneshiek!X29+'Dubuque Infra'!V28</f>
        <v>88</v>
      </c>
      <c r="C104" s="328">
        <f t="shared" si="9"/>
        <v>327</v>
      </c>
      <c r="D104" s="13">
        <f>HSEMD!N28+'Univ of Iowa'!J28+'Iowa DNR'!J28+'Univ of N Iowa'!J28+'Iowa State Univ'!J28+IDALS!J28+Benton!Y28+'Buena Vista'!Y28+Fremont!Y29+Howard!Y29+Iowa!Y29+Johnson!Y28+Mills!Y28+Winneshiek!Y29+'Dubuque Infra'!W28</f>
        <v>19</v>
      </c>
      <c r="E104" s="13">
        <f t="shared" si="8"/>
        <v>327</v>
      </c>
    </row>
    <row r="105" spans="1:5" x14ac:dyDescent="0.25">
      <c r="A105" s="21"/>
      <c r="B105" s="25"/>
      <c r="C105" s="328"/>
      <c r="D105" s="13"/>
      <c r="E105" s="13"/>
    </row>
  </sheetData>
  <phoneticPr fontId="8" type="noConversion"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D663B-B66F-484F-BA17-2E6B4904B70C}">
  <dimension ref="A1:Y35"/>
  <sheetViews>
    <sheetView zoomScale="80" zoomScaleNormal="80" workbookViewId="0">
      <selection sqref="A1:U1"/>
    </sheetView>
  </sheetViews>
  <sheetFormatPr defaultRowHeight="15" x14ac:dyDescent="0.25"/>
  <cols>
    <col min="1" max="1" width="1.7109375" customWidth="1"/>
    <col min="2" max="2" width="1.5703125" customWidth="1"/>
    <col min="5" max="5" width="10.7109375" bestFit="1" customWidth="1"/>
    <col min="9" max="9" width="14.5703125" bestFit="1" customWidth="1"/>
    <col min="10" max="10" width="9.85546875" bestFit="1" customWidth="1"/>
    <col min="11" max="11" width="10.140625" bestFit="1" customWidth="1"/>
    <col min="12" max="12" width="9.85546875" bestFit="1" customWidth="1"/>
    <col min="13" max="13" width="12.140625" bestFit="1" customWidth="1"/>
    <col min="17" max="17" width="9.85546875" bestFit="1" customWidth="1"/>
    <col min="18" max="18" width="12.5703125" bestFit="1" customWidth="1"/>
    <col min="20" max="20" width="9.85546875" bestFit="1" customWidth="1"/>
    <col min="22" max="22" width="11.42578125" customWidth="1"/>
    <col min="23" max="23" width="12.28515625" customWidth="1"/>
    <col min="24" max="24" width="12.140625" customWidth="1"/>
    <col min="25" max="25" width="11" customWidth="1"/>
  </cols>
  <sheetData>
    <row r="1" spans="1:25" ht="15.75" thickBot="1" x14ac:dyDescent="0.3">
      <c r="A1" s="419" t="s">
        <v>112</v>
      </c>
      <c r="B1" s="419"/>
      <c r="C1" s="419"/>
      <c r="D1" s="419"/>
      <c r="E1" s="410"/>
      <c r="F1" s="410"/>
      <c r="G1" s="410"/>
      <c r="H1" s="410"/>
      <c r="I1" s="410"/>
      <c r="J1" s="410"/>
      <c r="K1" s="410"/>
      <c r="L1" s="410"/>
      <c r="M1" s="410"/>
      <c r="N1" s="410"/>
      <c r="O1" s="410"/>
      <c r="P1" s="410"/>
      <c r="Q1" s="410"/>
      <c r="R1" s="410"/>
      <c r="S1" s="410"/>
      <c r="T1" s="410"/>
      <c r="U1" s="410"/>
      <c r="V1" s="352"/>
      <c r="W1" s="352"/>
      <c r="X1" s="352"/>
      <c r="Y1" s="352"/>
    </row>
    <row r="2" spans="1:25" ht="15.75" thickTop="1" x14ac:dyDescent="0.25">
      <c r="A2" s="397" t="s">
        <v>30</v>
      </c>
      <c r="B2" s="397"/>
      <c r="C2" s="397"/>
      <c r="D2" s="398"/>
      <c r="E2" s="420" t="s">
        <v>73</v>
      </c>
      <c r="F2" s="421"/>
      <c r="G2" s="421"/>
      <c r="H2" s="422"/>
      <c r="I2" s="420" t="s">
        <v>74</v>
      </c>
      <c r="J2" s="421"/>
      <c r="K2" s="421"/>
      <c r="L2" s="422"/>
      <c r="M2" s="420" t="s">
        <v>34</v>
      </c>
      <c r="N2" s="421"/>
      <c r="O2" s="421"/>
      <c r="P2" s="422"/>
      <c r="Q2" s="420" t="s">
        <v>35</v>
      </c>
      <c r="R2" s="421"/>
      <c r="S2" s="421"/>
      <c r="T2" s="421"/>
      <c r="U2" s="105"/>
      <c r="V2" s="353"/>
      <c r="W2" s="353"/>
      <c r="X2" s="353"/>
      <c r="Y2" s="353"/>
    </row>
    <row r="3" spans="1:25" ht="84" x14ac:dyDescent="0.25">
      <c r="A3" s="65" t="s">
        <v>46</v>
      </c>
      <c r="B3" s="65" t="s">
        <v>47</v>
      </c>
      <c r="C3" s="65" t="s">
        <v>39</v>
      </c>
      <c r="D3" s="66" t="s">
        <v>40</v>
      </c>
      <c r="E3" s="93" t="s">
        <v>75</v>
      </c>
      <c r="F3" s="65" t="s">
        <v>76</v>
      </c>
      <c r="G3" s="65" t="s">
        <v>77</v>
      </c>
      <c r="H3" s="94" t="s">
        <v>78</v>
      </c>
      <c r="I3" s="100" t="s">
        <v>75</v>
      </c>
      <c r="J3" s="90" t="s">
        <v>76</v>
      </c>
      <c r="K3" s="90" t="s">
        <v>77</v>
      </c>
      <c r="L3" s="101" t="s">
        <v>78</v>
      </c>
      <c r="M3" s="100" t="s">
        <v>75</v>
      </c>
      <c r="N3" s="90" t="s">
        <v>76</v>
      </c>
      <c r="O3" s="90" t="s">
        <v>77</v>
      </c>
      <c r="P3" s="101" t="s">
        <v>78</v>
      </c>
      <c r="Q3" s="100" t="s">
        <v>75</v>
      </c>
      <c r="R3" s="90" t="s">
        <v>76</v>
      </c>
      <c r="S3" s="90" t="s">
        <v>77</v>
      </c>
      <c r="T3" s="90" t="s">
        <v>78</v>
      </c>
      <c r="U3" s="106" t="s">
        <v>91</v>
      </c>
      <c r="V3" s="354" t="s">
        <v>143</v>
      </c>
      <c r="W3" s="355" t="s">
        <v>144</v>
      </c>
      <c r="X3" s="354" t="s">
        <v>145</v>
      </c>
      <c r="Y3" s="355" t="s">
        <v>146</v>
      </c>
    </row>
    <row r="4" spans="1:25" ht="84" x14ac:dyDescent="0.25">
      <c r="A4" s="65" t="s">
        <v>48</v>
      </c>
      <c r="B4" s="65" t="s">
        <v>49</v>
      </c>
      <c r="C4" s="67" t="s">
        <v>50</v>
      </c>
      <c r="D4" s="68" t="s">
        <v>51</v>
      </c>
      <c r="E4" s="95" t="s">
        <v>52</v>
      </c>
      <c r="F4" s="91" t="s">
        <v>53</v>
      </c>
      <c r="G4" s="91" t="s">
        <v>54</v>
      </c>
      <c r="H4" s="96" t="s">
        <v>55</v>
      </c>
      <c r="I4" s="102" t="s">
        <v>60</v>
      </c>
      <c r="J4" s="92" t="s">
        <v>61</v>
      </c>
      <c r="K4" s="92" t="s">
        <v>62</v>
      </c>
      <c r="L4" s="96" t="s">
        <v>63</v>
      </c>
      <c r="M4" s="95" t="s">
        <v>102</v>
      </c>
      <c r="N4" s="92" t="s">
        <v>103</v>
      </c>
      <c r="O4" s="91" t="s">
        <v>104</v>
      </c>
      <c r="P4" s="103" t="s">
        <v>105</v>
      </c>
      <c r="Q4" s="102" t="s">
        <v>106</v>
      </c>
      <c r="R4" s="92" t="s">
        <v>108</v>
      </c>
      <c r="S4" s="92" t="s">
        <v>109</v>
      </c>
      <c r="T4" s="92" t="s">
        <v>110</v>
      </c>
      <c r="U4" s="107" t="s">
        <v>111</v>
      </c>
      <c r="V4" s="356"/>
      <c r="W4" s="357"/>
      <c r="X4" s="356"/>
      <c r="Y4" s="357"/>
    </row>
    <row r="5" spans="1:25" x14ac:dyDescent="0.25">
      <c r="A5" s="65">
        <v>1</v>
      </c>
      <c r="B5" s="65">
        <v>1</v>
      </c>
      <c r="C5" s="67">
        <v>42644</v>
      </c>
      <c r="D5" s="68">
        <v>42735</v>
      </c>
      <c r="E5" s="87">
        <v>4166.666666666667</v>
      </c>
      <c r="F5" s="2">
        <f>SUM(0+ E5)</f>
        <v>4166.666666666667</v>
      </c>
      <c r="G5" s="2">
        <v>0</v>
      </c>
      <c r="H5" s="45">
        <f>SUM(0+ G5)</f>
        <v>0</v>
      </c>
      <c r="I5" s="59">
        <v>215775.08333333334</v>
      </c>
      <c r="J5" s="3">
        <f>0+I5</f>
        <v>215775.08333333334</v>
      </c>
      <c r="K5" s="3">
        <v>0</v>
      </c>
      <c r="L5" s="45">
        <f>0+K5</f>
        <v>0</v>
      </c>
      <c r="M5" s="87">
        <v>4398.333333333333</v>
      </c>
      <c r="N5" s="3">
        <f>M5</f>
        <v>4398.333333333333</v>
      </c>
      <c r="O5" s="2">
        <v>0</v>
      </c>
      <c r="P5" s="53">
        <v>0</v>
      </c>
      <c r="Q5" s="59">
        <v>209813.70833333334</v>
      </c>
      <c r="R5" s="3">
        <f>SUM(0+ Q5)</f>
        <v>209813.70833333334</v>
      </c>
      <c r="S5" s="3">
        <f>SUM(G5+K5+O5)</f>
        <v>0</v>
      </c>
      <c r="T5" s="3">
        <f>SUM(0+ S5)</f>
        <v>0</v>
      </c>
      <c r="U5" s="60">
        <f t="shared" ref="U5:U27" si="0">SUM(T5/R5)*100</f>
        <v>0</v>
      </c>
      <c r="V5" s="344">
        <v>0</v>
      </c>
      <c r="W5" s="342">
        <v>0</v>
      </c>
      <c r="X5" s="344">
        <v>0</v>
      </c>
      <c r="Y5" s="342">
        <v>0</v>
      </c>
    </row>
    <row r="6" spans="1:25" x14ac:dyDescent="0.25">
      <c r="A6" s="65">
        <v>1</v>
      </c>
      <c r="B6" s="65">
        <v>2</v>
      </c>
      <c r="C6" s="67">
        <v>42736</v>
      </c>
      <c r="D6" s="68">
        <v>42825</v>
      </c>
      <c r="E6" s="87">
        <v>4166.666666666667</v>
      </c>
      <c r="F6" s="2">
        <f t="shared" ref="F6:F16" si="1">SUM(F5+E6)</f>
        <v>8333.3333333333339</v>
      </c>
      <c r="G6" s="2">
        <v>0</v>
      </c>
      <c r="H6" s="45">
        <f t="shared" ref="H6:H24" si="2">SUM(H5+G6)</f>
        <v>0</v>
      </c>
      <c r="I6" s="59">
        <v>215775.08333333334</v>
      </c>
      <c r="J6" s="3">
        <f>J5+I6</f>
        <v>431550.16666666669</v>
      </c>
      <c r="K6" s="3">
        <v>258</v>
      </c>
      <c r="L6" s="45">
        <f t="shared" ref="L6:L24" si="3">SUM(L5+K6)</f>
        <v>258</v>
      </c>
      <c r="M6" s="87">
        <v>4398.333333333333</v>
      </c>
      <c r="N6" s="3">
        <f t="shared" ref="N6:N25" si="4">SUM(N5+M6)</f>
        <v>8796.6666666666661</v>
      </c>
      <c r="O6" s="3">
        <v>3568</v>
      </c>
      <c r="P6" s="53">
        <f t="shared" ref="P6:P25" si="5">SUM(P5+O6)</f>
        <v>3568</v>
      </c>
      <c r="Q6" s="59">
        <v>209813.70833333334</v>
      </c>
      <c r="R6" s="3">
        <f t="shared" ref="R6:R27" si="6">SUM(R5+Q6)</f>
        <v>419627.41666666669</v>
      </c>
      <c r="S6" s="3">
        <f t="shared" ref="S6:S29" si="7">SUM(G6+K6+O6)</f>
        <v>3826</v>
      </c>
      <c r="T6" s="3">
        <f t="shared" ref="T6:T27" si="8">SUM(T5+S6)</f>
        <v>3826</v>
      </c>
      <c r="U6" s="60">
        <f t="shared" si="0"/>
        <v>0.91176120721378029</v>
      </c>
      <c r="V6" s="344">
        <v>0</v>
      </c>
      <c r="W6" s="342">
        <v>0</v>
      </c>
      <c r="X6" s="344">
        <v>0</v>
      </c>
      <c r="Y6" s="342">
        <v>0</v>
      </c>
    </row>
    <row r="7" spans="1:25" x14ac:dyDescent="0.25">
      <c r="A7" s="65">
        <v>1</v>
      </c>
      <c r="B7" s="65">
        <v>3</v>
      </c>
      <c r="C7" s="67">
        <v>42826</v>
      </c>
      <c r="D7" s="68">
        <v>42916</v>
      </c>
      <c r="E7" s="87">
        <v>4166.666666666667</v>
      </c>
      <c r="F7" s="2">
        <f t="shared" si="1"/>
        <v>12500</v>
      </c>
      <c r="G7" s="2">
        <v>0</v>
      </c>
      <c r="H7" s="45">
        <f t="shared" si="2"/>
        <v>0</v>
      </c>
      <c r="I7" s="59">
        <v>215775.08333333334</v>
      </c>
      <c r="J7" s="3">
        <f t="shared" ref="J7:J27" si="9">J6+I7</f>
        <v>647325.25</v>
      </c>
      <c r="K7" s="3">
        <v>52</v>
      </c>
      <c r="L7" s="45">
        <f t="shared" si="3"/>
        <v>310</v>
      </c>
      <c r="M7" s="87">
        <v>4398.333333333333</v>
      </c>
      <c r="N7" s="3">
        <f t="shared" si="4"/>
        <v>13195</v>
      </c>
      <c r="O7" s="3">
        <v>3190</v>
      </c>
      <c r="P7" s="53">
        <f t="shared" si="5"/>
        <v>6758</v>
      </c>
      <c r="Q7" s="59">
        <v>209813.70833333334</v>
      </c>
      <c r="R7" s="3">
        <f t="shared" si="6"/>
        <v>629441.125</v>
      </c>
      <c r="S7" s="3">
        <f t="shared" si="7"/>
        <v>3242</v>
      </c>
      <c r="T7" s="3">
        <f t="shared" si="8"/>
        <v>7068</v>
      </c>
      <c r="U7" s="60">
        <f t="shared" si="0"/>
        <v>1.1229008908497995</v>
      </c>
      <c r="V7" s="351">
        <v>0</v>
      </c>
      <c r="W7" s="342">
        <v>0</v>
      </c>
      <c r="X7" s="344">
        <v>0</v>
      </c>
      <c r="Y7" s="342">
        <v>0</v>
      </c>
    </row>
    <row r="8" spans="1:25" x14ac:dyDescent="0.25">
      <c r="A8" s="65">
        <v>1</v>
      </c>
      <c r="B8" s="65">
        <v>4</v>
      </c>
      <c r="C8" s="67">
        <v>42917</v>
      </c>
      <c r="D8" s="68">
        <v>43008</v>
      </c>
      <c r="E8" s="87">
        <v>4166.666666666667</v>
      </c>
      <c r="F8" s="2">
        <f t="shared" si="1"/>
        <v>16666.666666666668</v>
      </c>
      <c r="G8" s="2">
        <v>6146</v>
      </c>
      <c r="H8" s="45">
        <f t="shared" si="2"/>
        <v>6146</v>
      </c>
      <c r="I8" s="59">
        <v>215775.08333333334</v>
      </c>
      <c r="J8" s="3">
        <f t="shared" si="9"/>
        <v>863100.33333333337</v>
      </c>
      <c r="K8" s="3">
        <v>66942</v>
      </c>
      <c r="L8" s="45">
        <f t="shared" si="3"/>
        <v>67252</v>
      </c>
      <c r="M8" s="87">
        <v>4398.333333333333</v>
      </c>
      <c r="N8" s="3">
        <f t="shared" si="4"/>
        <v>17593.333333333332</v>
      </c>
      <c r="O8" s="3">
        <v>5395</v>
      </c>
      <c r="P8" s="53">
        <f t="shared" si="5"/>
        <v>12153</v>
      </c>
      <c r="Q8" s="59">
        <v>209813.70833333334</v>
      </c>
      <c r="R8" s="3">
        <f t="shared" si="6"/>
        <v>839254.83333333337</v>
      </c>
      <c r="S8" s="3">
        <f t="shared" si="7"/>
        <v>78483</v>
      </c>
      <c r="T8" s="3">
        <f t="shared" si="8"/>
        <v>85551</v>
      </c>
      <c r="U8" s="60">
        <f t="shared" si="0"/>
        <v>10.193685708095416</v>
      </c>
      <c r="V8" s="351">
        <v>4.8499999999999996</v>
      </c>
      <c r="W8" s="342">
        <v>0</v>
      </c>
      <c r="X8" s="344">
        <v>0</v>
      </c>
      <c r="Y8" s="342">
        <v>0</v>
      </c>
    </row>
    <row r="9" spans="1:25" x14ac:dyDescent="0.25">
      <c r="A9" s="65">
        <v>2</v>
      </c>
      <c r="B9" s="65">
        <v>1</v>
      </c>
      <c r="C9" s="67">
        <v>43009</v>
      </c>
      <c r="D9" s="68">
        <v>43100</v>
      </c>
      <c r="E9" s="87">
        <v>4166.666666666667</v>
      </c>
      <c r="F9" s="2">
        <f t="shared" si="1"/>
        <v>20833.333333333336</v>
      </c>
      <c r="G9" s="2">
        <v>9912</v>
      </c>
      <c r="H9" s="45">
        <f t="shared" si="2"/>
        <v>16058</v>
      </c>
      <c r="I9" s="59">
        <v>215775.08333333334</v>
      </c>
      <c r="J9" s="3">
        <f t="shared" si="9"/>
        <v>1078875.4166666667</v>
      </c>
      <c r="K9" s="3">
        <v>21591</v>
      </c>
      <c r="L9" s="45">
        <f t="shared" si="3"/>
        <v>88843</v>
      </c>
      <c r="M9" s="87">
        <v>4398.333333333333</v>
      </c>
      <c r="N9" s="3">
        <f t="shared" si="4"/>
        <v>21991.666666666664</v>
      </c>
      <c r="O9" s="3">
        <v>3581</v>
      </c>
      <c r="P9" s="53">
        <f t="shared" si="5"/>
        <v>15734</v>
      </c>
      <c r="Q9" s="59">
        <v>209813.70833333334</v>
      </c>
      <c r="R9" s="3">
        <f t="shared" si="6"/>
        <v>1049068.5416666667</v>
      </c>
      <c r="S9" s="3">
        <f t="shared" si="7"/>
        <v>35084</v>
      </c>
      <c r="T9" s="3">
        <f t="shared" si="8"/>
        <v>120635</v>
      </c>
      <c r="U9" s="60">
        <f t="shared" si="0"/>
        <v>11.499248639020845</v>
      </c>
      <c r="V9" s="351">
        <v>4.8499999999999996</v>
      </c>
      <c r="W9" s="342">
        <v>0</v>
      </c>
      <c r="X9" s="344">
        <v>0</v>
      </c>
      <c r="Y9" s="342">
        <v>0</v>
      </c>
    </row>
    <row r="10" spans="1:25" x14ac:dyDescent="0.25">
      <c r="A10" s="65">
        <v>2</v>
      </c>
      <c r="B10" s="65">
        <v>2</v>
      </c>
      <c r="C10" s="67">
        <v>43101</v>
      </c>
      <c r="D10" s="68">
        <v>43190</v>
      </c>
      <c r="E10" s="87">
        <v>4166.666666666667</v>
      </c>
      <c r="F10" s="2">
        <f t="shared" si="1"/>
        <v>25000.000000000004</v>
      </c>
      <c r="G10" s="2">
        <v>15623</v>
      </c>
      <c r="H10" s="45">
        <f t="shared" si="2"/>
        <v>31681</v>
      </c>
      <c r="I10" s="59">
        <v>215775.08333333334</v>
      </c>
      <c r="J10" s="3">
        <f t="shared" si="9"/>
        <v>1294650.5</v>
      </c>
      <c r="K10" s="3">
        <v>46308</v>
      </c>
      <c r="L10" s="45">
        <f t="shared" si="3"/>
        <v>135151</v>
      </c>
      <c r="M10" s="87">
        <v>4398.333333333333</v>
      </c>
      <c r="N10" s="3">
        <f t="shared" si="4"/>
        <v>26389.999999999996</v>
      </c>
      <c r="O10" s="3">
        <v>3162</v>
      </c>
      <c r="P10" s="53">
        <f t="shared" si="5"/>
        <v>18896</v>
      </c>
      <c r="Q10" s="59">
        <v>209813.70833333334</v>
      </c>
      <c r="R10" s="3">
        <f t="shared" si="6"/>
        <v>1258882.25</v>
      </c>
      <c r="S10" s="3">
        <f t="shared" si="7"/>
        <v>65093</v>
      </c>
      <c r="T10" s="3">
        <f t="shared" si="8"/>
        <v>185728</v>
      </c>
      <c r="U10" s="60">
        <f t="shared" si="0"/>
        <v>14.753405252953563</v>
      </c>
      <c r="V10" s="351">
        <v>4.8499999999999996</v>
      </c>
      <c r="W10" s="342">
        <v>0</v>
      </c>
      <c r="X10" s="344">
        <v>0</v>
      </c>
      <c r="Y10" s="342">
        <v>0</v>
      </c>
    </row>
    <row r="11" spans="1:25" x14ac:dyDescent="0.25">
      <c r="A11" s="65">
        <v>2</v>
      </c>
      <c r="B11" s="65">
        <v>3</v>
      </c>
      <c r="C11" s="67">
        <v>43191</v>
      </c>
      <c r="D11" s="68">
        <v>43281</v>
      </c>
      <c r="E11" s="87">
        <v>4166.666666666667</v>
      </c>
      <c r="F11" s="2">
        <f t="shared" si="1"/>
        <v>29166.666666666672</v>
      </c>
      <c r="G11" s="2">
        <v>28676</v>
      </c>
      <c r="H11" s="45">
        <f t="shared" si="2"/>
        <v>60357</v>
      </c>
      <c r="I11" s="59">
        <v>215775.08333333334</v>
      </c>
      <c r="J11" s="3">
        <f t="shared" si="9"/>
        <v>1510425.5833333333</v>
      </c>
      <c r="K11" s="3">
        <v>144874</v>
      </c>
      <c r="L11" s="45">
        <f t="shared" si="3"/>
        <v>280025</v>
      </c>
      <c r="M11" s="87">
        <v>4398.333333333333</v>
      </c>
      <c r="N11" s="3">
        <f t="shared" si="4"/>
        <v>30788.333333333328</v>
      </c>
      <c r="O11" s="3">
        <v>13532</v>
      </c>
      <c r="P11" s="53">
        <f t="shared" si="5"/>
        <v>32428</v>
      </c>
      <c r="Q11" s="59">
        <v>209813.70833333334</v>
      </c>
      <c r="R11" s="3">
        <f t="shared" si="6"/>
        <v>1468695.9583333333</v>
      </c>
      <c r="S11" s="3">
        <f t="shared" si="7"/>
        <v>187082</v>
      </c>
      <c r="T11" s="3">
        <f t="shared" si="8"/>
        <v>372810</v>
      </c>
      <c r="U11" s="60">
        <f t="shared" si="0"/>
        <v>25.383742488340637</v>
      </c>
      <c r="V11" s="351">
        <v>4.8499999999999996</v>
      </c>
      <c r="W11" s="342">
        <v>0</v>
      </c>
      <c r="X11" s="344">
        <v>0</v>
      </c>
      <c r="Y11" s="342">
        <v>0</v>
      </c>
    </row>
    <row r="12" spans="1:25" x14ac:dyDescent="0.25">
      <c r="A12" s="65">
        <v>2</v>
      </c>
      <c r="B12" s="65">
        <v>4</v>
      </c>
      <c r="C12" s="67">
        <v>43282</v>
      </c>
      <c r="D12" s="68">
        <v>43373</v>
      </c>
      <c r="E12" s="87">
        <v>4166.666666666667</v>
      </c>
      <c r="F12" s="2">
        <f t="shared" si="1"/>
        <v>33333.333333333336</v>
      </c>
      <c r="G12" s="2">
        <v>12312</v>
      </c>
      <c r="H12" s="45">
        <f t="shared" si="2"/>
        <v>72669</v>
      </c>
      <c r="I12" s="59">
        <v>215775.08333333334</v>
      </c>
      <c r="J12" s="3">
        <f t="shared" si="9"/>
        <v>1726200.6666666665</v>
      </c>
      <c r="K12" s="3">
        <v>31213</v>
      </c>
      <c r="L12" s="45">
        <f t="shared" si="3"/>
        <v>311238</v>
      </c>
      <c r="M12" s="87">
        <v>4398.333333333333</v>
      </c>
      <c r="N12" s="3">
        <f t="shared" si="4"/>
        <v>35186.666666666664</v>
      </c>
      <c r="O12" s="3">
        <v>4418</v>
      </c>
      <c r="P12" s="53">
        <f t="shared" si="5"/>
        <v>36846</v>
      </c>
      <c r="Q12" s="59">
        <v>209813.70833333334</v>
      </c>
      <c r="R12" s="3">
        <f t="shared" si="6"/>
        <v>1678509.6666666665</v>
      </c>
      <c r="S12" s="3">
        <f t="shared" si="7"/>
        <v>47943</v>
      </c>
      <c r="T12" s="3">
        <f t="shared" si="8"/>
        <v>420753</v>
      </c>
      <c r="U12" s="60">
        <f t="shared" si="0"/>
        <v>25.067058495740969</v>
      </c>
      <c r="V12" s="351">
        <v>4.8499999999999996</v>
      </c>
      <c r="W12" s="342">
        <v>0</v>
      </c>
      <c r="X12" s="344">
        <v>0</v>
      </c>
      <c r="Y12" s="342">
        <v>0</v>
      </c>
    </row>
    <row r="13" spans="1:25" x14ac:dyDescent="0.25">
      <c r="A13" s="65">
        <v>3</v>
      </c>
      <c r="B13" s="65">
        <v>1</v>
      </c>
      <c r="C13" s="67">
        <v>43374</v>
      </c>
      <c r="D13" s="68">
        <v>43465</v>
      </c>
      <c r="E13" s="87">
        <v>4166.666666666667</v>
      </c>
      <c r="F13" s="2">
        <f t="shared" si="1"/>
        <v>37500</v>
      </c>
      <c r="G13" s="2">
        <v>9888</v>
      </c>
      <c r="H13" s="45">
        <f t="shared" si="2"/>
        <v>82557</v>
      </c>
      <c r="I13" s="59">
        <v>215775.08333333334</v>
      </c>
      <c r="J13" s="3">
        <f t="shared" si="9"/>
        <v>1941975.7499999998</v>
      </c>
      <c r="K13" s="3">
        <v>70031</v>
      </c>
      <c r="L13" s="45">
        <f t="shared" si="3"/>
        <v>381269</v>
      </c>
      <c r="M13" s="87">
        <v>4398.333333333333</v>
      </c>
      <c r="N13" s="3">
        <f t="shared" si="4"/>
        <v>39585</v>
      </c>
      <c r="O13" s="3">
        <v>4837</v>
      </c>
      <c r="P13" s="53">
        <f t="shared" si="5"/>
        <v>41683</v>
      </c>
      <c r="Q13" s="59">
        <v>209813.70833333334</v>
      </c>
      <c r="R13" s="3">
        <f t="shared" si="6"/>
        <v>1888323.3749999998</v>
      </c>
      <c r="S13" s="3">
        <f t="shared" si="7"/>
        <v>84756</v>
      </c>
      <c r="T13" s="3">
        <f t="shared" si="8"/>
        <v>505509</v>
      </c>
      <c r="U13" s="60">
        <f t="shared" si="0"/>
        <v>26.770255915515534</v>
      </c>
      <c r="V13" s="351">
        <v>4.8499999999999996</v>
      </c>
      <c r="W13" s="342">
        <v>0</v>
      </c>
      <c r="X13" s="344">
        <v>0</v>
      </c>
      <c r="Y13" s="342">
        <v>0</v>
      </c>
    </row>
    <row r="14" spans="1:25" x14ac:dyDescent="0.25">
      <c r="A14" s="65">
        <v>3</v>
      </c>
      <c r="B14" s="65">
        <v>2</v>
      </c>
      <c r="C14" s="67">
        <v>43466</v>
      </c>
      <c r="D14" s="68">
        <v>43555</v>
      </c>
      <c r="E14" s="87">
        <v>4166.666666666667</v>
      </c>
      <c r="F14" s="2">
        <f t="shared" si="1"/>
        <v>41666.666666666664</v>
      </c>
      <c r="G14" s="2">
        <v>13053</v>
      </c>
      <c r="H14" s="45">
        <f t="shared" si="2"/>
        <v>95610</v>
      </c>
      <c r="I14" s="59">
        <v>215775.08333333334</v>
      </c>
      <c r="J14" s="3">
        <f t="shared" si="9"/>
        <v>2157750.833333333</v>
      </c>
      <c r="K14" s="3">
        <v>121985</v>
      </c>
      <c r="L14" s="45">
        <f t="shared" si="3"/>
        <v>503254</v>
      </c>
      <c r="M14" s="87">
        <v>4398.333333333333</v>
      </c>
      <c r="N14" s="3">
        <f t="shared" si="4"/>
        <v>43983.333333333336</v>
      </c>
      <c r="O14" s="3">
        <v>3558</v>
      </c>
      <c r="P14" s="53">
        <f t="shared" si="5"/>
        <v>45241</v>
      </c>
      <c r="Q14" s="59">
        <v>209813.70833333334</v>
      </c>
      <c r="R14" s="3">
        <f t="shared" si="6"/>
        <v>2098137.083333333</v>
      </c>
      <c r="S14" s="3">
        <f t="shared" si="7"/>
        <v>138596</v>
      </c>
      <c r="T14" s="3">
        <f t="shared" si="8"/>
        <v>644105</v>
      </c>
      <c r="U14" s="60">
        <f t="shared" si="0"/>
        <v>30.698899758098907</v>
      </c>
      <c r="V14" s="351">
        <v>4.8499999999999996</v>
      </c>
      <c r="W14" s="342">
        <v>0</v>
      </c>
      <c r="X14" s="344">
        <v>0</v>
      </c>
      <c r="Y14" s="342">
        <v>0</v>
      </c>
    </row>
    <row r="15" spans="1:25" x14ac:dyDescent="0.25">
      <c r="A15" s="65">
        <v>3</v>
      </c>
      <c r="B15" s="65">
        <v>3</v>
      </c>
      <c r="C15" s="67">
        <v>43556</v>
      </c>
      <c r="D15" s="68">
        <v>43646</v>
      </c>
      <c r="E15" s="87">
        <v>4166.666666666667</v>
      </c>
      <c r="F15" s="2">
        <f t="shared" si="1"/>
        <v>45833.333333333328</v>
      </c>
      <c r="G15" s="2">
        <v>2914</v>
      </c>
      <c r="H15" s="45">
        <f t="shared" si="2"/>
        <v>98524</v>
      </c>
      <c r="I15" s="59">
        <v>215775.08333333334</v>
      </c>
      <c r="J15" s="3">
        <f t="shared" si="9"/>
        <v>2373525.9166666665</v>
      </c>
      <c r="K15" s="3">
        <v>124202</v>
      </c>
      <c r="L15" s="45">
        <f t="shared" si="3"/>
        <v>627456</v>
      </c>
      <c r="M15" s="87">
        <v>4398.333333333333</v>
      </c>
      <c r="N15" s="3">
        <f t="shared" si="4"/>
        <v>48381.666666666672</v>
      </c>
      <c r="O15" s="3">
        <v>3952</v>
      </c>
      <c r="P15" s="53">
        <f t="shared" si="5"/>
        <v>49193</v>
      </c>
      <c r="Q15" s="59">
        <v>209813.70833333334</v>
      </c>
      <c r="R15" s="3">
        <f t="shared" si="6"/>
        <v>2307950.7916666665</v>
      </c>
      <c r="S15" s="3">
        <f t="shared" si="7"/>
        <v>131068</v>
      </c>
      <c r="T15" s="3">
        <f t="shared" si="8"/>
        <v>775173</v>
      </c>
      <c r="U15" s="60">
        <f t="shared" si="0"/>
        <v>33.587067921851812</v>
      </c>
      <c r="V15" s="351">
        <v>4.8499999999999996</v>
      </c>
      <c r="W15" s="342">
        <v>0</v>
      </c>
      <c r="X15" s="344">
        <v>0</v>
      </c>
      <c r="Y15" s="342">
        <v>0</v>
      </c>
    </row>
    <row r="16" spans="1:25" x14ac:dyDescent="0.25">
      <c r="A16" s="65">
        <v>3</v>
      </c>
      <c r="B16" s="65">
        <v>4</v>
      </c>
      <c r="C16" s="67">
        <v>43653</v>
      </c>
      <c r="D16" s="68">
        <v>43738</v>
      </c>
      <c r="E16" s="87">
        <v>4166.666666666667</v>
      </c>
      <c r="F16" s="2">
        <f t="shared" si="1"/>
        <v>49999.999999999993</v>
      </c>
      <c r="G16" s="2">
        <v>1333</v>
      </c>
      <c r="H16" s="45">
        <f t="shared" si="2"/>
        <v>99857</v>
      </c>
      <c r="I16" s="59">
        <v>215775.08333333334</v>
      </c>
      <c r="J16" s="3">
        <f t="shared" si="9"/>
        <v>2589301</v>
      </c>
      <c r="K16" s="3">
        <v>65624</v>
      </c>
      <c r="L16" s="45">
        <f t="shared" si="3"/>
        <v>693080</v>
      </c>
      <c r="M16" s="87">
        <v>4398.333333333333</v>
      </c>
      <c r="N16" s="3">
        <f t="shared" si="4"/>
        <v>52780.000000000007</v>
      </c>
      <c r="O16" s="3">
        <v>6417</v>
      </c>
      <c r="P16" s="53">
        <f t="shared" si="5"/>
        <v>55610</v>
      </c>
      <c r="Q16" s="59">
        <v>209813.70833333334</v>
      </c>
      <c r="R16" s="3">
        <f t="shared" si="6"/>
        <v>2517764.5</v>
      </c>
      <c r="S16" s="3">
        <f t="shared" si="7"/>
        <v>73374</v>
      </c>
      <c r="T16" s="3">
        <f t="shared" si="8"/>
        <v>848547</v>
      </c>
      <c r="U16" s="60">
        <f t="shared" si="0"/>
        <v>33.702397503817373</v>
      </c>
      <c r="V16" s="351">
        <v>4.8499999999999996</v>
      </c>
      <c r="W16" s="342">
        <v>0</v>
      </c>
      <c r="X16" s="344">
        <v>0</v>
      </c>
      <c r="Y16" s="342">
        <v>0</v>
      </c>
    </row>
    <row r="17" spans="1:25" x14ac:dyDescent="0.25">
      <c r="A17" s="65">
        <v>4</v>
      </c>
      <c r="B17" s="65">
        <v>1</v>
      </c>
      <c r="C17" s="67">
        <v>43739</v>
      </c>
      <c r="D17" s="68">
        <v>43830</v>
      </c>
      <c r="E17" s="87">
        <v>4166.666666666667</v>
      </c>
      <c r="F17" s="2">
        <f t="shared" ref="F17:F25" si="10">SUM(F16+E17)</f>
        <v>54166.666666666657</v>
      </c>
      <c r="G17" s="2">
        <v>143</v>
      </c>
      <c r="H17" s="45">
        <f t="shared" si="2"/>
        <v>100000</v>
      </c>
      <c r="I17" s="59">
        <v>215775.08333333334</v>
      </c>
      <c r="J17" s="3">
        <f t="shared" si="9"/>
        <v>2805076.0833333335</v>
      </c>
      <c r="K17" s="3">
        <v>483504</v>
      </c>
      <c r="L17" s="45">
        <f t="shared" si="3"/>
        <v>1176584</v>
      </c>
      <c r="M17" s="87">
        <v>4398.333333333333</v>
      </c>
      <c r="N17" s="3">
        <f t="shared" si="4"/>
        <v>57178.333333333343</v>
      </c>
      <c r="O17" s="3">
        <v>16695</v>
      </c>
      <c r="P17" s="53">
        <f t="shared" si="5"/>
        <v>72305</v>
      </c>
      <c r="Q17" s="59">
        <v>209813.70833333334</v>
      </c>
      <c r="R17" s="3">
        <f t="shared" si="6"/>
        <v>2727578.2083333335</v>
      </c>
      <c r="S17" s="3">
        <f t="shared" si="7"/>
        <v>500342</v>
      </c>
      <c r="T17" s="3">
        <f t="shared" si="8"/>
        <v>1348889</v>
      </c>
      <c r="U17" s="60">
        <f t="shared" si="0"/>
        <v>49.453724035441269</v>
      </c>
      <c r="V17" s="351">
        <v>4.8499999999999996</v>
      </c>
      <c r="W17" s="342">
        <v>50</v>
      </c>
      <c r="X17" s="344">
        <v>0</v>
      </c>
      <c r="Y17" s="342">
        <v>1</v>
      </c>
    </row>
    <row r="18" spans="1:25" x14ac:dyDescent="0.25">
      <c r="A18" s="65">
        <v>4</v>
      </c>
      <c r="B18" s="65">
        <v>2</v>
      </c>
      <c r="C18" s="67">
        <v>43831</v>
      </c>
      <c r="D18" s="68">
        <v>43921</v>
      </c>
      <c r="E18" s="87">
        <v>4166.666666666667</v>
      </c>
      <c r="F18" s="2">
        <f t="shared" si="10"/>
        <v>58333.333333333321</v>
      </c>
      <c r="G18" s="2">
        <v>0</v>
      </c>
      <c r="H18" s="45">
        <f t="shared" si="2"/>
        <v>100000</v>
      </c>
      <c r="I18" s="59">
        <v>215775.08333333334</v>
      </c>
      <c r="J18" s="3">
        <f t="shared" si="9"/>
        <v>3020851.166666667</v>
      </c>
      <c r="K18" s="3">
        <v>251407</v>
      </c>
      <c r="L18" s="45">
        <f t="shared" si="3"/>
        <v>1427991</v>
      </c>
      <c r="M18" s="87">
        <v>4398.333333333333</v>
      </c>
      <c r="N18" s="3">
        <f t="shared" si="4"/>
        <v>61576.666666666679</v>
      </c>
      <c r="O18" s="3">
        <v>12602</v>
      </c>
      <c r="P18" s="53">
        <f t="shared" si="5"/>
        <v>84907</v>
      </c>
      <c r="Q18" s="59">
        <v>209813.70833333334</v>
      </c>
      <c r="R18" s="3">
        <f t="shared" si="6"/>
        <v>2937391.916666667</v>
      </c>
      <c r="S18" s="3">
        <f t="shared" si="7"/>
        <v>264009</v>
      </c>
      <c r="T18" s="3">
        <f t="shared" si="8"/>
        <v>1612898</v>
      </c>
      <c r="U18" s="60">
        <f t="shared" si="0"/>
        <v>54.909186303961313</v>
      </c>
      <c r="V18" s="351">
        <v>4.8499999999999996</v>
      </c>
      <c r="W18" s="342">
        <v>0</v>
      </c>
      <c r="X18" s="344">
        <v>1</v>
      </c>
      <c r="Y18" s="342">
        <v>0</v>
      </c>
    </row>
    <row r="19" spans="1:25" x14ac:dyDescent="0.25">
      <c r="A19" s="65">
        <v>4</v>
      </c>
      <c r="B19" s="65">
        <v>3</v>
      </c>
      <c r="C19" s="67">
        <v>43922</v>
      </c>
      <c r="D19" s="68">
        <v>44012</v>
      </c>
      <c r="E19" s="87">
        <v>4166.666666666667</v>
      </c>
      <c r="F19" s="2">
        <f t="shared" si="10"/>
        <v>62499.999999999985</v>
      </c>
      <c r="G19" s="2">
        <v>0</v>
      </c>
      <c r="H19" s="45">
        <f t="shared" si="2"/>
        <v>100000</v>
      </c>
      <c r="I19" s="59">
        <v>215775.08333333334</v>
      </c>
      <c r="J19" s="3">
        <f t="shared" si="9"/>
        <v>3236626.2500000005</v>
      </c>
      <c r="K19" s="3">
        <v>463155</v>
      </c>
      <c r="L19" s="45">
        <f t="shared" si="3"/>
        <v>1891146</v>
      </c>
      <c r="M19" s="87">
        <v>4398.333333333333</v>
      </c>
      <c r="N19" s="3">
        <f>SUM(N18+M19)</f>
        <v>65975.000000000015</v>
      </c>
      <c r="O19" s="3">
        <v>9068</v>
      </c>
      <c r="P19" s="53">
        <f t="shared" si="5"/>
        <v>93975</v>
      </c>
      <c r="Q19" s="59">
        <v>209813.70833333334</v>
      </c>
      <c r="R19" s="3">
        <f t="shared" si="6"/>
        <v>3147205.6250000005</v>
      </c>
      <c r="S19" s="3">
        <f t="shared" si="7"/>
        <v>472223</v>
      </c>
      <c r="T19" s="3">
        <f t="shared" si="8"/>
        <v>2085121</v>
      </c>
      <c r="U19" s="60">
        <f t="shared" si="0"/>
        <v>66.253090787482293</v>
      </c>
      <c r="V19" s="351">
        <v>4.8499999999999996</v>
      </c>
      <c r="W19" s="342">
        <v>61</v>
      </c>
      <c r="X19" s="344">
        <v>0</v>
      </c>
      <c r="Y19" s="342">
        <v>0</v>
      </c>
    </row>
    <row r="20" spans="1:25" x14ac:dyDescent="0.25">
      <c r="A20" s="65">
        <v>4</v>
      </c>
      <c r="B20" s="65">
        <v>4</v>
      </c>
      <c r="C20" s="67">
        <v>44013</v>
      </c>
      <c r="D20" s="68">
        <v>44104</v>
      </c>
      <c r="E20" s="87">
        <v>4166.666666666667</v>
      </c>
      <c r="F20" s="2">
        <f t="shared" si="10"/>
        <v>66666.666666666657</v>
      </c>
      <c r="G20" s="2">
        <v>0</v>
      </c>
      <c r="H20" s="45">
        <f t="shared" si="2"/>
        <v>100000</v>
      </c>
      <c r="I20" s="59">
        <v>215775.08333333334</v>
      </c>
      <c r="J20" s="3">
        <f t="shared" si="9"/>
        <v>3452401.333333334</v>
      </c>
      <c r="K20" s="3">
        <v>280591</v>
      </c>
      <c r="L20" s="45">
        <f t="shared" si="3"/>
        <v>2171737</v>
      </c>
      <c r="M20" s="87">
        <v>4398.333333333333</v>
      </c>
      <c r="N20" s="3">
        <f t="shared" si="4"/>
        <v>70373.333333333343</v>
      </c>
      <c r="O20" s="3">
        <v>5348</v>
      </c>
      <c r="P20" s="53">
        <f t="shared" si="5"/>
        <v>99323</v>
      </c>
      <c r="Q20" s="59">
        <v>209813.70833333334</v>
      </c>
      <c r="R20" s="3">
        <f t="shared" si="6"/>
        <v>3357019.333333334</v>
      </c>
      <c r="S20" s="3">
        <f t="shared" si="7"/>
        <v>285939</v>
      </c>
      <c r="T20" s="3">
        <f t="shared" si="8"/>
        <v>2371060</v>
      </c>
      <c r="U20" s="60">
        <f t="shared" si="0"/>
        <v>70.629917929178831</v>
      </c>
      <c r="V20" s="351">
        <v>4.8499999999999996</v>
      </c>
      <c r="W20" s="342">
        <v>0</v>
      </c>
      <c r="X20" s="344">
        <v>0</v>
      </c>
      <c r="Y20" s="342">
        <v>0</v>
      </c>
    </row>
    <row r="21" spans="1:25" x14ac:dyDescent="0.25">
      <c r="A21" s="65">
        <v>5</v>
      </c>
      <c r="B21" s="65">
        <v>1</v>
      </c>
      <c r="C21" s="67">
        <v>44105</v>
      </c>
      <c r="D21" s="68">
        <v>44196</v>
      </c>
      <c r="E21" s="87">
        <v>4166.666666666667</v>
      </c>
      <c r="F21" s="2">
        <f t="shared" si="10"/>
        <v>70833.333333333328</v>
      </c>
      <c r="G21" s="2">
        <v>0</v>
      </c>
      <c r="H21" s="45">
        <f t="shared" si="2"/>
        <v>100000</v>
      </c>
      <c r="I21" s="59">
        <v>215775.08333333334</v>
      </c>
      <c r="J21" s="3">
        <f t="shared" si="9"/>
        <v>3668176.4166666674</v>
      </c>
      <c r="K21" s="3">
        <v>435263</v>
      </c>
      <c r="L21" s="45">
        <f t="shared" si="3"/>
        <v>2607000</v>
      </c>
      <c r="M21" s="87">
        <v>4398.333333333333</v>
      </c>
      <c r="N21" s="3">
        <f t="shared" si="4"/>
        <v>74771.666666666672</v>
      </c>
      <c r="O21" s="3">
        <v>5580</v>
      </c>
      <c r="P21" s="53">
        <f t="shared" si="5"/>
        <v>104903</v>
      </c>
      <c r="Q21" s="59">
        <v>209813.70833333334</v>
      </c>
      <c r="R21" s="3">
        <f t="shared" si="6"/>
        <v>3566833.0416666674</v>
      </c>
      <c r="S21" s="3">
        <f t="shared" si="7"/>
        <v>440843</v>
      </c>
      <c r="T21" s="3">
        <f t="shared" si="8"/>
        <v>2811903</v>
      </c>
      <c r="U21" s="60">
        <f t="shared" si="0"/>
        <v>78.834724450295184</v>
      </c>
      <c r="V21" s="351">
        <v>4.8499999999999996</v>
      </c>
      <c r="W21" s="342">
        <v>0</v>
      </c>
      <c r="X21" s="344">
        <v>0</v>
      </c>
      <c r="Y21" s="342">
        <v>0</v>
      </c>
    </row>
    <row r="22" spans="1:25" x14ac:dyDescent="0.25">
      <c r="A22" s="65">
        <v>5</v>
      </c>
      <c r="B22" s="65">
        <v>2</v>
      </c>
      <c r="C22" s="67">
        <v>44197</v>
      </c>
      <c r="D22" s="68">
        <v>44286</v>
      </c>
      <c r="E22" s="87">
        <v>4166.666666666667</v>
      </c>
      <c r="F22" s="2">
        <f t="shared" si="10"/>
        <v>75000</v>
      </c>
      <c r="G22" s="2">
        <v>0</v>
      </c>
      <c r="H22" s="45">
        <f t="shared" si="2"/>
        <v>100000</v>
      </c>
      <c r="I22" s="59">
        <v>215775.08333333334</v>
      </c>
      <c r="J22" s="3">
        <f t="shared" si="9"/>
        <v>3883951.5000000009</v>
      </c>
      <c r="K22" s="3">
        <v>463291</v>
      </c>
      <c r="L22" s="45">
        <f t="shared" si="3"/>
        <v>3070291</v>
      </c>
      <c r="M22" s="87">
        <v>4398.333333333333</v>
      </c>
      <c r="N22" s="3">
        <f t="shared" si="4"/>
        <v>79170</v>
      </c>
      <c r="O22" s="3">
        <v>651</v>
      </c>
      <c r="P22" s="53">
        <f t="shared" si="5"/>
        <v>105554</v>
      </c>
      <c r="Q22" s="59">
        <v>209813.70833333334</v>
      </c>
      <c r="R22" s="3">
        <f t="shared" si="6"/>
        <v>3776646.7500000009</v>
      </c>
      <c r="S22" s="3">
        <f t="shared" si="7"/>
        <v>463942</v>
      </c>
      <c r="T22" s="3">
        <f t="shared" si="8"/>
        <v>3275845</v>
      </c>
      <c r="U22" s="60">
        <f t="shared" si="0"/>
        <v>86.739513034942945</v>
      </c>
      <c r="V22" s="351">
        <v>4.8499999999999996</v>
      </c>
      <c r="W22" s="342">
        <v>0</v>
      </c>
      <c r="X22" s="344">
        <v>0</v>
      </c>
      <c r="Y22" s="342">
        <v>0</v>
      </c>
    </row>
    <row r="23" spans="1:25" x14ac:dyDescent="0.25">
      <c r="A23" s="65">
        <v>5</v>
      </c>
      <c r="B23" s="65">
        <v>3</v>
      </c>
      <c r="C23" s="67">
        <v>44287</v>
      </c>
      <c r="D23" s="68">
        <v>44377</v>
      </c>
      <c r="E23" s="87">
        <v>4166.666666666667</v>
      </c>
      <c r="F23" s="2">
        <f t="shared" si="10"/>
        <v>79166.666666666672</v>
      </c>
      <c r="G23" s="2">
        <v>0</v>
      </c>
      <c r="H23" s="45">
        <f t="shared" si="2"/>
        <v>100000</v>
      </c>
      <c r="I23" s="59">
        <v>215775.08333333334</v>
      </c>
      <c r="J23" s="3">
        <f t="shared" si="9"/>
        <v>4099726.5833333344</v>
      </c>
      <c r="K23" s="3">
        <v>282642</v>
      </c>
      <c r="L23" s="45">
        <f t="shared" si="3"/>
        <v>3352933</v>
      </c>
      <c r="M23" s="87">
        <v>4398.333333333333</v>
      </c>
      <c r="N23" s="3">
        <f t="shared" si="4"/>
        <v>83568.333333333328</v>
      </c>
      <c r="O23" s="3">
        <v>0</v>
      </c>
      <c r="P23" s="53">
        <f t="shared" si="5"/>
        <v>105554</v>
      </c>
      <c r="Q23" s="59">
        <v>209813.70833333334</v>
      </c>
      <c r="R23" s="3">
        <f t="shared" si="6"/>
        <v>3986460.4583333344</v>
      </c>
      <c r="S23" s="3">
        <f t="shared" si="7"/>
        <v>282642</v>
      </c>
      <c r="T23" s="3">
        <f t="shared" si="8"/>
        <v>3558487</v>
      </c>
      <c r="U23" s="60">
        <f t="shared" si="0"/>
        <v>89.264324510263364</v>
      </c>
      <c r="V23" s="351">
        <v>4.8499999999999996</v>
      </c>
      <c r="W23" s="342">
        <v>0</v>
      </c>
      <c r="X23" s="344">
        <v>0</v>
      </c>
      <c r="Y23" s="342">
        <v>0</v>
      </c>
    </row>
    <row r="24" spans="1:25" x14ac:dyDescent="0.25">
      <c r="A24" s="65">
        <v>5</v>
      </c>
      <c r="B24" s="65">
        <v>4</v>
      </c>
      <c r="C24" s="67">
        <v>44378</v>
      </c>
      <c r="D24" s="68">
        <v>44469</v>
      </c>
      <c r="E24" s="87">
        <v>4166.666666666667</v>
      </c>
      <c r="F24" s="2">
        <f t="shared" si="10"/>
        <v>83333.333333333343</v>
      </c>
      <c r="G24" s="2">
        <v>0</v>
      </c>
      <c r="H24" s="45">
        <f t="shared" si="2"/>
        <v>100000</v>
      </c>
      <c r="I24" s="59">
        <v>215775.08333333334</v>
      </c>
      <c r="J24" s="3">
        <f t="shared" si="9"/>
        <v>4315501.6666666679</v>
      </c>
      <c r="K24" s="3">
        <v>459915</v>
      </c>
      <c r="L24" s="45">
        <f t="shared" si="3"/>
        <v>3812848</v>
      </c>
      <c r="M24" s="87">
        <v>4398.333333333333</v>
      </c>
      <c r="N24" s="3">
        <f t="shared" si="4"/>
        <v>87966.666666666657</v>
      </c>
      <c r="O24" s="3">
        <v>6</v>
      </c>
      <c r="P24" s="53">
        <f t="shared" si="5"/>
        <v>105560</v>
      </c>
      <c r="Q24" s="59">
        <v>209813.70833333334</v>
      </c>
      <c r="R24" s="3">
        <f t="shared" si="6"/>
        <v>4196274.1666666679</v>
      </c>
      <c r="S24" s="3">
        <f t="shared" si="7"/>
        <v>459921</v>
      </c>
      <c r="T24" s="3">
        <f t="shared" si="8"/>
        <v>4018408</v>
      </c>
      <c r="U24" s="60">
        <f t="shared" si="0"/>
        <v>95.76133113323344</v>
      </c>
      <c r="V24" s="351">
        <v>4.8499999999999996</v>
      </c>
      <c r="W24" s="342">
        <v>62</v>
      </c>
      <c r="X24" s="344">
        <v>0</v>
      </c>
      <c r="Y24" s="342">
        <v>0</v>
      </c>
    </row>
    <row r="25" spans="1:25" x14ac:dyDescent="0.25">
      <c r="A25" s="65">
        <v>6</v>
      </c>
      <c r="B25" s="65">
        <v>1</v>
      </c>
      <c r="C25" s="67">
        <v>44470</v>
      </c>
      <c r="D25" s="68">
        <v>44561</v>
      </c>
      <c r="E25" s="87">
        <v>4166.666666666667</v>
      </c>
      <c r="F25" s="2">
        <f t="shared" si="10"/>
        <v>87500.000000000015</v>
      </c>
      <c r="G25" s="2">
        <v>0</v>
      </c>
      <c r="H25" s="45">
        <f t="shared" ref="H25" si="11">SUM(H24+G25)</f>
        <v>100000</v>
      </c>
      <c r="I25" s="59">
        <v>215775.08333333334</v>
      </c>
      <c r="J25" s="3">
        <f t="shared" si="9"/>
        <v>4531276.7500000009</v>
      </c>
      <c r="K25" s="3">
        <v>58648</v>
      </c>
      <c r="L25" s="45">
        <f t="shared" ref="L25" si="12">SUM(L24+K25)</f>
        <v>3871496</v>
      </c>
      <c r="M25" s="87">
        <v>4398.333333333333</v>
      </c>
      <c r="N25" s="3">
        <f t="shared" si="4"/>
        <v>92364.999999999985</v>
      </c>
      <c r="O25" s="3">
        <v>0</v>
      </c>
      <c r="P25" s="53">
        <f t="shared" si="5"/>
        <v>105560</v>
      </c>
      <c r="Q25" s="59">
        <v>209813.70833333334</v>
      </c>
      <c r="R25" s="3">
        <f t="shared" si="6"/>
        <v>4406087.8750000009</v>
      </c>
      <c r="S25" s="3">
        <f t="shared" si="7"/>
        <v>58648</v>
      </c>
      <c r="T25" s="3">
        <f t="shared" si="8"/>
        <v>4077056</v>
      </c>
      <c r="U25" s="60">
        <f t="shared" si="0"/>
        <v>92.532335161381667</v>
      </c>
      <c r="V25" s="351">
        <v>4.8499999999999996</v>
      </c>
      <c r="W25" s="342">
        <v>0</v>
      </c>
      <c r="X25" s="344">
        <v>0</v>
      </c>
      <c r="Y25" s="342">
        <v>0</v>
      </c>
    </row>
    <row r="26" spans="1:25" x14ac:dyDescent="0.25">
      <c r="A26" s="65">
        <v>6</v>
      </c>
      <c r="B26" s="65">
        <v>2</v>
      </c>
      <c r="C26" s="67">
        <v>44562</v>
      </c>
      <c r="D26" s="68">
        <v>44651</v>
      </c>
      <c r="E26" s="87">
        <v>4166.666666666667</v>
      </c>
      <c r="F26" s="2">
        <f t="shared" ref="F26:F28" si="13">SUM(F25+E26)</f>
        <v>91666.666666666686</v>
      </c>
      <c r="G26" s="2">
        <v>0</v>
      </c>
      <c r="H26" s="45">
        <f t="shared" ref="H26:H27" si="14">SUM(H25+G26)</f>
        <v>100000</v>
      </c>
      <c r="I26" s="59">
        <v>215775.08333333334</v>
      </c>
      <c r="J26" s="3">
        <f t="shared" si="9"/>
        <v>4747051.833333334</v>
      </c>
      <c r="K26" s="3">
        <v>0</v>
      </c>
      <c r="L26" s="45">
        <f t="shared" ref="L26:L27" si="15">SUM(L25+K26)</f>
        <v>3871496</v>
      </c>
      <c r="M26" s="87">
        <v>4398.333333333333</v>
      </c>
      <c r="N26" s="3">
        <f t="shared" ref="N26:N28" si="16">SUM(N25+M26)</f>
        <v>96763.333333333314</v>
      </c>
      <c r="O26" s="3">
        <v>0</v>
      </c>
      <c r="P26" s="53">
        <f t="shared" ref="P26:P28" si="17">SUM(P25+O26)</f>
        <v>105560</v>
      </c>
      <c r="Q26" s="59">
        <v>209813.70833333334</v>
      </c>
      <c r="R26" s="3">
        <f>SUM(R25+Q26)</f>
        <v>4615901.583333334</v>
      </c>
      <c r="S26" s="3">
        <f t="shared" si="7"/>
        <v>0</v>
      </c>
      <c r="T26" s="3">
        <f t="shared" si="8"/>
        <v>4077056</v>
      </c>
      <c r="U26" s="60">
        <f t="shared" si="0"/>
        <v>88.326319926773408</v>
      </c>
      <c r="V26" s="351">
        <v>4.8499999999999996</v>
      </c>
      <c r="W26" s="342">
        <v>123</v>
      </c>
      <c r="X26" s="344">
        <v>0</v>
      </c>
      <c r="Y26" s="342">
        <v>0</v>
      </c>
    </row>
    <row r="27" spans="1:25" x14ac:dyDescent="0.25">
      <c r="A27" s="65">
        <v>6</v>
      </c>
      <c r="B27" s="65">
        <v>3</v>
      </c>
      <c r="C27" s="67">
        <v>44652</v>
      </c>
      <c r="D27" s="68">
        <v>44742</v>
      </c>
      <c r="E27" s="87">
        <v>4166.666666666667</v>
      </c>
      <c r="F27" s="2">
        <f t="shared" si="13"/>
        <v>95833.333333333358</v>
      </c>
      <c r="G27" s="2">
        <v>0</v>
      </c>
      <c r="H27" s="45">
        <f t="shared" si="14"/>
        <v>100000</v>
      </c>
      <c r="I27" s="59">
        <v>215775.08333333334</v>
      </c>
      <c r="J27" s="3">
        <f t="shared" si="9"/>
        <v>4962826.916666667</v>
      </c>
      <c r="K27" s="3">
        <v>786216</v>
      </c>
      <c r="L27" s="45">
        <f t="shared" si="15"/>
        <v>4657712</v>
      </c>
      <c r="M27" s="87">
        <v>4398.333333333333</v>
      </c>
      <c r="N27" s="3">
        <f t="shared" si="16"/>
        <v>101161.66666666664</v>
      </c>
      <c r="O27" s="3">
        <v>0</v>
      </c>
      <c r="P27" s="53">
        <f t="shared" si="17"/>
        <v>105560</v>
      </c>
      <c r="Q27" s="59">
        <v>209813.70833333334</v>
      </c>
      <c r="R27" s="3">
        <f t="shared" si="6"/>
        <v>4825715.291666667</v>
      </c>
      <c r="S27" s="3">
        <f t="shared" si="7"/>
        <v>786216</v>
      </c>
      <c r="T27" s="3">
        <f t="shared" si="8"/>
        <v>4863272</v>
      </c>
      <c r="U27" s="60">
        <f t="shared" si="0"/>
        <v>100.77826199979489</v>
      </c>
      <c r="V27" s="351">
        <v>4.8499999999999996</v>
      </c>
      <c r="W27" s="342">
        <v>67</v>
      </c>
      <c r="X27" s="344">
        <v>0</v>
      </c>
      <c r="Y27" s="342">
        <v>0</v>
      </c>
    </row>
    <row r="28" spans="1:25" x14ac:dyDescent="0.25">
      <c r="A28" s="65">
        <v>6</v>
      </c>
      <c r="B28" s="65">
        <v>4</v>
      </c>
      <c r="C28" s="67">
        <v>44743</v>
      </c>
      <c r="D28" s="68">
        <v>44834</v>
      </c>
      <c r="E28" s="87">
        <v>4166.666666666667</v>
      </c>
      <c r="F28" s="2">
        <f t="shared" si="13"/>
        <v>100000.00000000003</v>
      </c>
      <c r="G28" s="2">
        <v>0</v>
      </c>
      <c r="H28" s="45">
        <f>SUM(H27+G28)</f>
        <v>100000</v>
      </c>
      <c r="I28" s="59">
        <v>215775.08333333334</v>
      </c>
      <c r="J28" s="2">
        <f>SUM(J27+I28)</f>
        <v>5178602</v>
      </c>
      <c r="K28" s="3">
        <v>93013</v>
      </c>
      <c r="L28" s="45">
        <f>SUM(L27+K28)</f>
        <v>4750725</v>
      </c>
      <c r="M28" s="87">
        <v>4398.333333333333</v>
      </c>
      <c r="N28" s="3">
        <f t="shared" si="16"/>
        <v>105559.99999999997</v>
      </c>
      <c r="O28" s="3">
        <v>0</v>
      </c>
      <c r="P28" s="53">
        <f t="shared" si="17"/>
        <v>105560</v>
      </c>
      <c r="Q28" s="59">
        <v>209813.70833333334</v>
      </c>
      <c r="R28" s="3">
        <f>SUM(R27+Q28)</f>
        <v>5035529</v>
      </c>
      <c r="S28" s="3">
        <f t="shared" si="7"/>
        <v>93013</v>
      </c>
      <c r="T28" s="3">
        <f>SUM(T27+S28)</f>
        <v>4956285</v>
      </c>
      <c r="U28" s="60">
        <f>SUM(T28/R28)*100</f>
        <v>98.426302380544328</v>
      </c>
      <c r="V28" s="351"/>
      <c r="W28" s="342"/>
      <c r="X28" s="344">
        <v>0</v>
      </c>
      <c r="Y28" s="342">
        <v>0</v>
      </c>
    </row>
    <row r="29" spans="1:25" x14ac:dyDescent="0.25">
      <c r="A29" s="65">
        <v>7</v>
      </c>
      <c r="B29" s="65">
        <v>1</v>
      </c>
      <c r="C29" s="67">
        <v>44835</v>
      </c>
      <c r="D29" s="68">
        <v>44926</v>
      </c>
      <c r="E29" s="263"/>
      <c r="F29" s="5"/>
      <c r="G29" s="5"/>
      <c r="H29" s="46"/>
      <c r="I29" s="262"/>
      <c r="J29" s="5"/>
      <c r="K29" s="6">
        <v>79244</v>
      </c>
      <c r="L29" s="45">
        <f>SUM(L28+K29)</f>
        <v>4829969</v>
      </c>
      <c r="M29" s="263"/>
      <c r="N29" s="6"/>
      <c r="O29" s="6"/>
      <c r="P29" s="54"/>
      <c r="Q29" s="262"/>
      <c r="R29" s="3">
        <f>SUM(R28+Q29)</f>
        <v>5035529</v>
      </c>
      <c r="S29" s="3">
        <f t="shared" si="7"/>
        <v>79244</v>
      </c>
      <c r="T29" s="3">
        <f>SUM(T28+S29)</f>
        <v>5035529</v>
      </c>
      <c r="U29" s="60">
        <f>SUM(T29/R29)*100</f>
        <v>100</v>
      </c>
      <c r="V29" s="351"/>
      <c r="W29" s="344"/>
      <c r="X29" s="344">
        <v>0</v>
      </c>
      <c r="Y29" s="342">
        <v>0</v>
      </c>
    </row>
    <row r="30" spans="1:25" x14ac:dyDescent="0.25">
      <c r="A30" s="65">
        <v>7</v>
      </c>
      <c r="B30" s="65">
        <v>2</v>
      </c>
      <c r="C30" s="67">
        <v>44927</v>
      </c>
      <c r="D30" s="68">
        <v>45016</v>
      </c>
      <c r="E30" s="263"/>
      <c r="F30" s="5"/>
      <c r="G30" s="5"/>
      <c r="H30" s="46"/>
      <c r="I30" s="262"/>
      <c r="J30" s="5"/>
      <c r="K30" s="6"/>
      <c r="L30" s="46"/>
      <c r="M30" s="263"/>
      <c r="N30" s="6"/>
      <c r="O30" s="6"/>
      <c r="P30" s="54"/>
      <c r="Q30" s="262"/>
      <c r="R30" s="6"/>
      <c r="S30" s="6"/>
      <c r="T30" s="6"/>
      <c r="U30" s="61"/>
      <c r="V30" s="345"/>
      <c r="W30" s="345"/>
      <c r="X30" s="345"/>
      <c r="Y30" s="345"/>
    </row>
    <row r="31" spans="1:25" ht="15.75" thickBot="1" x14ac:dyDescent="0.3">
      <c r="A31" s="113"/>
      <c r="B31" s="113"/>
      <c r="C31" s="114"/>
      <c r="D31" s="115"/>
      <c r="E31" s="97">
        <f>SUM(E5:E28)</f>
        <v>100000.00000000003</v>
      </c>
      <c r="F31" s="98" t="s">
        <v>71</v>
      </c>
      <c r="G31" s="98" t="s">
        <v>19</v>
      </c>
      <c r="H31" s="99">
        <f>SUM(E31-H28)</f>
        <v>2.9103830456733704E-11</v>
      </c>
      <c r="I31" s="111">
        <v>4829969</v>
      </c>
      <c r="J31" s="98" t="s">
        <v>71</v>
      </c>
      <c r="K31" s="98" t="s">
        <v>19</v>
      </c>
      <c r="L31" s="99">
        <f>SUM(I31-L29)</f>
        <v>0</v>
      </c>
      <c r="M31" s="111">
        <f>SUM(M5:M28)</f>
        <v>105559.99999999997</v>
      </c>
      <c r="N31" s="98" t="s">
        <v>71</v>
      </c>
      <c r="O31" s="98" t="s">
        <v>19</v>
      </c>
      <c r="P31" s="99">
        <f>SUM(M31-P27)</f>
        <v>-2.9103830456733704E-11</v>
      </c>
      <c r="Q31" s="111">
        <v>5035529</v>
      </c>
      <c r="R31" s="98" t="s">
        <v>71</v>
      </c>
      <c r="S31" s="98" t="s">
        <v>19</v>
      </c>
      <c r="T31" s="108">
        <f>SUM(Q31-T28)</f>
        <v>79244</v>
      </c>
      <c r="U31" s="109"/>
      <c r="V31" s="345">
        <f>SUM(V5:V30)</f>
        <v>96.999999999999972</v>
      </c>
      <c r="W31" s="345">
        <f t="shared" ref="W31:Y31" si="18">SUM(W5:W30)</f>
        <v>363</v>
      </c>
      <c r="X31" s="345">
        <f t="shared" si="18"/>
        <v>1</v>
      </c>
      <c r="Y31" s="345">
        <f t="shared" si="18"/>
        <v>1</v>
      </c>
    </row>
    <row r="32" spans="1:25" ht="15.75" thickTop="1" x14ac:dyDescent="0.25">
      <c r="A32" s="19"/>
      <c r="B32" s="19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U32" s="10"/>
    </row>
    <row r="33" spans="1:21" x14ac:dyDescent="0.25">
      <c r="A33" s="19"/>
      <c r="B33" s="19"/>
      <c r="C33" s="375" t="s">
        <v>159</v>
      </c>
      <c r="D33" s="376">
        <v>44742</v>
      </c>
      <c r="E33" s="8"/>
      <c r="F33" s="8"/>
      <c r="G33" s="8"/>
      <c r="H33" s="8"/>
      <c r="I33" s="8"/>
      <c r="J33" s="9"/>
      <c r="K33" s="9"/>
      <c r="L33" s="8"/>
      <c r="M33" s="8"/>
      <c r="N33" s="8"/>
      <c r="O33" s="8"/>
      <c r="P33" s="8"/>
      <c r="R33" s="75"/>
      <c r="U33" s="10"/>
    </row>
    <row r="34" spans="1:21" x14ac:dyDescent="0.25">
      <c r="A34" s="22"/>
      <c r="B34" s="22"/>
      <c r="I34" s="29"/>
      <c r="K34" s="12"/>
      <c r="M34" s="11"/>
      <c r="U34" s="10"/>
    </row>
    <row r="35" spans="1:21" x14ac:dyDescent="0.25">
      <c r="A35" s="22"/>
      <c r="B35" s="22"/>
      <c r="J35" s="30"/>
      <c r="U35" s="10"/>
    </row>
  </sheetData>
  <mergeCells count="6">
    <mergeCell ref="A1:U1"/>
    <mergeCell ref="A2:D2"/>
    <mergeCell ref="E2:H2"/>
    <mergeCell ref="I2:L2"/>
    <mergeCell ref="M2:P2"/>
    <mergeCell ref="Q2:T2"/>
  </mergeCells>
  <pageMargins left="0.7" right="0.7" top="0.75" bottom="0.75" header="0.3" footer="0.3"/>
  <pageSetup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0CBF8-68C3-4447-AB3B-20B2A33F90C6}">
  <dimension ref="A1:Y33"/>
  <sheetViews>
    <sheetView zoomScale="80" zoomScaleNormal="80" workbookViewId="0">
      <selection activeCell="M30" sqref="M30"/>
    </sheetView>
  </sheetViews>
  <sheetFormatPr defaultRowHeight="15" x14ac:dyDescent="0.25"/>
  <cols>
    <col min="1" max="2" width="1.85546875" customWidth="1"/>
    <col min="5" max="5" width="10.7109375" bestFit="1" customWidth="1"/>
    <col min="9" max="9" width="14.5703125" bestFit="1" customWidth="1"/>
    <col min="10" max="10" width="9.85546875" bestFit="1" customWidth="1"/>
    <col min="12" max="12" width="9.85546875" bestFit="1" customWidth="1"/>
    <col min="13" max="13" width="10.85546875" bestFit="1" customWidth="1"/>
    <col min="17" max="18" width="9.85546875" bestFit="1" customWidth="1"/>
    <col min="20" max="20" width="9.85546875" bestFit="1" customWidth="1"/>
    <col min="22" max="22" width="11.42578125" customWidth="1"/>
    <col min="23" max="23" width="12.28515625" customWidth="1"/>
    <col min="24" max="24" width="12.140625" customWidth="1"/>
    <col min="25" max="25" width="11" customWidth="1"/>
  </cols>
  <sheetData>
    <row r="1" spans="1:25" ht="15.75" thickBot="1" x14ac:dyDescent="0.3">
      <c r="A1" s="395" t="s">
        <v>113</v>
      </c>
      <c r="B1" s="395"/>
      <c r="C1" s="395"/>
      <c r="D1" s="395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396"/>
      <c r="R1" s="396"/>
      <c r="S1" s="396"/>
      <c r="T1" s="396"/>
      <c r="U1" s="396"/>
      <c r="V1" s="347"/>
      <c r="W1" s="347"/>
      <c r="X1" s="347"/>
      <c r="Y1" s="347"/>
    </row>
    <row r="2" spans="1:25" ht="15.75" thickTop="1" x14ac:dyDescent="0.25">
      <c r="A2" s="414" t="s">
        <v>30</v>
      </c>
      <c r="B2" s="414"/>
      <c r="C2" s="414"/>
      <c r="D2" s="415"/>
      <c r="E2" s="405" t="s">
        <v>73</v>
      </c>
      <c r="F2" s="406"/>
      <c r="G2" s="406"/>
      <c r="H2" s="423"/>
      <c r="I2" s="405" t="s">
        <v>74</v>
      </c>
      <c r="J2" s="406"/>
      <c r="K2" s="406"/>
      <c r="L2" s="423"/>
      <c r="M2" s="405" t="s">
        <v>34</v>
      </c>
      <c r="N2" s="406"/>
      <c r="O2" s="406"/>
      <c r="P2" s="423"/>
      <c r="Q2" s="405" t="s">
        <v>35</v>
      </c>
      <c r="R2" s="406"/>
      <c r="S2" s="406"/>
      <c r="T2" s="406"/>
      <c r="U2" s="129"/>
      <c r="V2" s="358"/>
      <c r="W2" s="358"/>
      <c r="X2" s="358"/>
      <c r="Y2" s="358"/>
    </row>
    <row r="3" spans="1:25" ht="84" x14ac:dyDescent="0.25">
      <c r="A3" s="77" t="s">
        <v>46</v>
      </c>
      <c r="B3" s="77" t="s">
        <v>47</v>
      </c>
      <c r="C3" s="77" t="s">
        <v>39</v>
      </c>
      <c r="D3" s="82" t="s">
        <v>40</v>
      </c>
      <c r="E3" s="117" t="s">
        <v>75</v>
      </c>
      <c r="F3" s="79" t="s">
        <v>114</v>
      </c>
      <c r="G3" s="79" t="s">
        <v>115</v>
      </c>
      <c r="H3" s="118" t="s">
        <v>116</v>
      </c>
      <c r="I3" s="123" t="s">
        <v>75</v>
      </c>
      <c r="J3" s="124" t="s">
        <v>114</v>
      </c>
      <c r="K3" s="124" t="s">
        <v>115</v>
      </c>
      <c r="L3" s="125" t="s">
        <v>116</v>
      </c>
      <c r="M3" s="123" t="s">
        <v>75</v>
      </c>
      <c r="N3" s="124" t="s">
        <v>114</v>
      </c>
      <c r="O3" s="124" t="s">
        <v>115</v>
      </c>
      <c r="P3" s="125" t="s">
        <v>116</v>
      </c>
      <c r="Q3" s="123" t="s">
        <v>75</v>
      </c>
      <c r="R3" s="124" t="s">
        <v>114</v>
      </c>
      <c r="S3" s="124" t="s">
        <v>115</v>
      </c>
      <c r="T3" s="124" t="s">
        <v>116</v>
      </c>
      <c r="U3" s="130" t="s">
        <v>117</v>
      </c>
      <c r="V3" s="359" t="s">
        <v>143</v>
      </c>
      <c r="W3" s="360" t="s">
        <v>144</v>
      </c>
      <c r="X3" s="359" t="s">
        <v>145</v>
      </c>
      <c r="Y3" s="360" t="s">
        <v>146</v>
      </c>
    </row>
    <row r="4" spans="1:25" x14ac:dyDescent="0.25">
      <c r="A4" s="65">
        <v>1</v>
      </c>
      <c r="B4" s="65">
        <v>1</v>
      </c>
      <c r="C4" s="67">
        <v>42644</v>
      </c>
      <c r="D4" s="68">
        <v>42735</v>
      </c>
      <c r="E4" s="119">
        <v>6999.9999999999991</v>
      </c>
      <c r="F4" s="74">
        <f>SUM(0+ E4)</f>
        <v>6999.9999999999991</v>
      </c>
      <c r="G4" s="74">
        <v>0</v>
      </c>
      <c r="H4" s="85">
        <f>SUM(0+ G4)</f>
        <v>0</v>
      </c>
      <c r="I4" s="126">
        <v>153231</v>
      </c>
      <c r="J4" s="74">
        <f>SUM(0+ I4)</f>
        <v>153231</v>
      </c>
      <c r="K4" s="35"/>
      <c r="L4" s="85">
        <f>SUM(0+ K4)</f>
        <v>0</v>
      </c>
      <c r="M4" s="119">
        <v>3088.68</v>
      </c>
      <c r="N4" s="35">
        <f>M4</f>
        <v>3088.68</v>
      </c>
      <c r="O4" s="74">
        <v>0</v>
      </c>
      <c r="P4" s="128">
        <f>SUM(0+ O4)</f>
        <v>0</v>
      </c>
      <c r="Q4" s="126">
        <f>SUM(E4+I4+M4)</f>
        <v>163319.67999999999</v>
      </c>
      <c r="R4" s="35">
        <f>SUM(0+ Q4)</f>
        <v>163319.67999999999</v>
      </c>
      <c r="S4" s="35">
        <f>SUM(G4+K4+O4)</f>
        <v>0</v>
      </c>
      <c r="T4" s="35">
        <f>SUM(0+ S4)</f>
        <v>0</v>
      </c>
      <c r="U4" s="131">
        <f t="shared" ref="U4:U27" si="0">SUM(T4/R4)*100</f>
        <v>0</v>
      </c>
      <c r="V4" s="344">
        <v>0</v>
      </c>
      <c r="W4" s="342">
        <v>0</v>
      </c>
      <c r="X4" s="344">
        <v>0</v>
      </c>
      <c r="Y4" s="342">
        <v>0</v>
      </c>
    </row>
    <row r="5" spans="1:25" x14ac:dyDescent="0.25">
      <c r="A5" s="65">
        <v>1</v>
      </c>
      <c r="B5" s="65">
        <v>2</v>
      </c>
      <c r="C5" s="67">
        <v>42736</v>
      </c>
      <c r="D5" s="68">
        <v>42825</v>
      </c>
      <c r="E5" s="119">
        <v>6999.9999999999991</v>
      </c>
      <c r="F5" s="74">
        <f t="shared" ref="F5:F23" si="1">SUM(F4+E5)</f>
        <v>13999.999999999998</v>
      </c>
      <c r="G5" s="74">
        <v>0</v>
      </c>
      <c r="H5" s="85">
        <f t="shared" ref="H5:H23" si="2">SUM(H4+G5)</f>
        <v>0</v>
      </c>
      <c r="I5" s="126">
        <v>153231</v>
      </c>
      <c r="J5" s="74">
        <f t="shared" ref="J5:J23" si="3">SUM(J4+I5)</f>
        <v>306462</v>
      </c>
      <c r="K5" s="35">
        <v>0</v>
      </c>
      <c r="L5" s="85">
        <f t="shared" ref="L5:L23" si="4">SUM(L4+K5)</f>
        <v>0</v>
      </c>
      <c r="M5" s="119">
        <v>3088.68</v>
      </c>
      <c r="N5" s="35">
        <f t="shared" ref="N5:N25" si="5">SUM(N4+M5)</f>
        <v>6177.36</v>
      </c>
      <c r="O5" s="35">
        <v>4576</v>
      </c>
      <c r="P5" s="128">
        <f t="shared" ref="P5:P25" si="6">SUM(P4+O5)</f>
        <v>4576</v>
      </c>
      <c r="Q5" s="126">
        <f t="shared" ref="Q5:Q28" si="7">SUM(E5+I5+M5)</f>
        <v>163319.67999999999</v>
      </c>
      <c r="R5" s="35">
        <f t="shared" ref="R5:R28" si="8">SUM(R4+Q5)</f>
        <v>326639.35999999999</v>
      </c>
      <c r="S5" s="35">
        <f t="shared" ref="S5:S29" si="9">SUM(G5+K5+O5)</f>
        <v>4576</v>
      </c>
      <c r="T5" s="35">
        <f t="shared" ref="T5:T29" si="10">SUM(T4+S5)</f>
        <v>4576</v>
      </c>
      <c r="U5" s="131">
        <f t="shared" si="0"/>
        <v>1.4009334331294305</v>
      </c>
      <c r="V5" s="344">
        <v>0</v>
      </c>
      <c r="W5" s="342">
        <v>0</v>
      </c>
      <c r="X5" s="344">
        <v>0</v>
      </c>
      <c r="Y5" s="342">
        <v>0</v>
      </c>
    </row>
    <row r="6" spans="1:25" x14ac:dyDescent="0.25">
      <c r="A6" s="65">
        <v>1</v>
      </c>
      <c r="B6" s="65">
        <v>3</v>
      </c>
      <c r="C6" s="67">
        <v>42826</v>
      </c>
      <c r="D6" s="68">
        <v>42916</v>
      </c>
      <c r="E6" s="119">
        <v>6999.9999999999991</v>
      </c>
      <c r="F6" s="74">
        <f t="shared" si="1"/>
        <v>20999.999999999996</v>
      </c>
      <c r="G6" s="74">
        <v>0</v>
      </c>
      <c r="H6" s="85">
        <f t="shared" si="2"/>
        <v>0</v>
      </c>
      <c r="I6" s="126">
        <v>153231</v>
      </c>
      <c r="J6" s="74">
        <f t="shared" si="3"/>
        <v>459693</v>
      </c>
      <c r="K6" s="35">
        <v>1199</v>
      </c>
      <c r="L6" s="85">
        <f t="shared" si="4"/>
        <v>1199</v>
      </c>
      <c r="M6" s="119">
        <v>3088.68</v>
      </c>
      <c r="N6" s="35">
        <f t="shared" si="5"/>
        <v>9266.0399999999991</v>
      </c>
      <c r="O6" s="35">
        <v>8612</v>
      </c>
      <c r="P6" s="128">
        <f t="shared" si="6"/>
        <v>13188</v>
      </c>
      <c r="Q6" s="126">
        <f t="shared" si="7"/>
        <v>163319.67999999999</v>
      </c>
      <c r="R6" s="35">
        <f t="shared" si="8"/>
        <v>489959.04</v>
      </c>
      <c r="S6" s="35">
        <f t="shared" si="9"/>
        <v>9811</v>
      </c>
      <c r="T6" s="35">
        <f t="shared" si="10"/>
        <v>14387</v>
      </c>
      <c r="U6" s="131">
        <f t="shared" si="0"/>
        <v>2.9363679053661307</v>
      </c>
      <c r="V6" s="351">
        <v>0</v>
      </c>
      <c r="W6" s="342">
        <v>0</v>
      </c>
      <c r="X6" s="344">
        <v>0</v>
      </c>
      <c r="Y6" s="342">
        <v>0</v>
      </c>
    </row>
    <row r="7" spans="1:25" x14ac:dyDescent="0.25">
      <c r="A7" s="65">
        <v>1</v>
      </c>
      <c r="B7" s="65">
        <v>4</v>
      </c>
      <c r="C7" s="67">
        <v>42917</v>
      </c>
      <c r="D7" s="68">
        <v>43008</v>
      </c>
      <c r="E7" s="119">
        <v>6999.9999999999991</v>
      </c>
      <c r="F7" s="74">
        <f t="shared" si="1"/>
        <v>27999.999999999996</v>
      </c>
      <c r="G7" s="74">
        <v>0</v>
      </c>
      <c r="H7" s="85">
        <f t="shared" si="2"/>
        <v>0</v>
      </c>
      <c r="I7" s="126">
        <v>153231</v>
      </c>
      <c r="J7" s="74">
        <f t="shared" si="3"/>
        <v>612924</v>
      </c>
      <c r="K7" s="35">
        <v>13031</v>
      </c>
      <c r="L7" s="85">
        <f t="shared" si="4"/>
        <v>14230</v>
      </c>
      <c r="M7" s="119">
        <v>3088.68</v>
      </c>
      <c r="N7" s="35">
        <f t="shared" si="5"/>
        <v>12354.72</v>
      </c>
      <c r="O7" s="35">
        <v>5237</v>
      </c>
      <c r="P7" s="128">
        <f t="shared" si="6"/>
        <v>18425</v>
      </c>
      <c r="Q7" s="126">
        <f t="shared" si="7"/>
        <v>163319.67999999999</v>
      </c>
      <c r="R7" s="35">
        <f t="shared" si="8"/>
        <v>653278.71999999997</v>
      </c>
      <c r="S7" s="35">
        <f t="shared" si="9"/>
        <v>18268</v>
      </c>
      <c r="T7" s="35">
        <f t="shared" si="10"/>
        <v>32655</v>
      </c>
      <c r="U7" s="131">
        <f t="shared" si="0"/>
        <v>4.9986321305552401</v>
      </c>
      <c r="V7" s="351">
        <v>3.2727272727272729</v>
      </c>
      <c r="W7" s="342">
        <v>0</v>
      </c>
      <c r="X7" s="344">
        <v>0</v>
      </c>
      <c r="Y7" s="342">
        <v>0</v>
      </c>
    </row>
    <row r="8" spans="1:25" x14ac:dyDescent="0.25">
      <c r="A8" s="65">
        <v>2</v>
      </c>
      <c r="B8" s="65">
        <v>1</v>
      </c>
      <c r="C8" s="67">
        <v>43009</v>
      </c>
      <c r="D8" s="68">
        <v>43100</v>
      </c>
      <c r="E8" s="119">
        <v>6999.9999999999991</v>
      </c>
      <c r="F8" s="74">
        <f t="shared" si="1"/>
        <v>34999.999999999993</v>
      </c>
      <c r="G8" s="74">
        <v>4371</v>
      </c>
      <c r="H8" s="85">
        <f t="shared" si="2"/>
        <v>4371</v>
      </c>
      <c r="I8" s="126">
        <v>153231</v>
      </c>
      <c r="J8" s="74">
        <f t="shared" si="3"/>
        <v>766155</v>
      </c>
      <c r="K8" s="35">
        <v>73698</v>
      </c>
      <c r="L8" s="85">
        <f t="shared" si="4"/>
        <v>87928</v>
      </c>
      <c r="M8" s="119">
        <v>3088.68</v>
      </c>
      <c r="N8" s="35">
        <f t="shared" si="5"/>
        <v>15443.4</v>
      </c>
      <c r="O8" s="35">
        <v>8417</v>
      </c>
      <c r="P8" s="128">
        <f t="shared" si="6"/>
        <v>26842</v>
      </c>
      <c r="Q8" s="126">
        <f t="shared" si="7"/>
        <v>163319.67999999999</v>
      </c>
      <c r="R8" s="35">
        <f t="shared" si="8"/>
        <v>816598.39999999991</v>
      </c>
      <c r="S8" s="35">
        <f t="shared" si="9"/>
        <v>86486</v>
      </c>
      <c r="T8" s="35">
        <f t="shared" si="10"/>
        <v>119141</v>
      </c>
      <c r="U8" s="131">
        <f t="shared" si="0"/>
        <v>14.589913475216216</v>
      </c>
      <c r="V8" s="351">
        <v>3.2727272727272729</v>
      </c>
      <c r="W8" s="342">
        <v>0</v>
      </c>
      <c r="X8" s="344">
        <v>0</v>
      </c>
      <c r="Y8" s="342">
        <v>0</v>
      </c>
    </row>
    <row r="9" spans="1:25" x14ac:dyDescent="0.25">
      <c r="A9" s="65">
        <v>2</v>
      </c>
      <c r="B9" s="65">
        <v>2</v>
      </c>
      <c r="C9" s="67">
        <v>43101</v>
      </c>
      <c r="D9" s="68">
        <v>43190</v>
      </c>
      <c r="E9" s="119">
        <v>6999.9999999999991</v>
      </c>
      <c r="F9" s="74">
        <f t="shared" si="1"/>
        <v>41999.999999999993</v>
      </c>
      <c r="G9" s="74">
        <v>11344</v>
      </c>
      <c r="H9" s="85">
        <f t="shared" si="2"/>
        <v>15715</v>
      </c>
      <c r="I9" s="126">
        <v>153231</v>
      </c>
      <c r="J9" s="74">
        <f t="shared" si="3"/>
        <v>919386</v>
      </c>
      <c r="K9" s="35">
        <v>28941</v>
      </c>
      <c r="L9" s="85">
        <f t="shared" si="4"/>
        <v>116869</v>
      </c>
      <c r="M9" s="119">
        <v>3088.68</v>
      </c>
      <c r="N9" s="35">
        <f t="shared" si="5"/>
        <v>18532.079999999998</v>
      </c>
      <c r="O9" s="35">
        <v>2930</v>
      </c>
      <c r="P9" s="128">
        <f t="shared" si="6"/>
        <v>29772</v>
      </c>
      <c r="Q9" s="126">
        <f>SUM(E9+I9+M9)</f>
        <v>163319.67999999999</v>
      </c>
      <c r="R9" s="35">
        <f t="shared" si="8"/>
        <v>979918.07999999984</v>
      </c>
      <c r="S9" s="35">
        <f t="shared" si="9"/>
        <v>43215</v>
      </c>
      <c r="T9" s="35">
        <f t="shared" si="10"/>
        <v>162356</v>
      </c>
      <c r="U9" s="131">
        <f t="shared" si="0"/>
        <v>16.568323752124261</v>
      </c>
      <c r="V9" s="351">
        <v>3.2727272727272729</v>
      </c>
      <c r="W9" s="342">
        <v>0</v>
      </c>
      <c r="X9" s="344">
        <v>0</v>
      </c>
      <c r="Y9" s="342">
        <v>0</v>
      </c>
    </row>
    <row r="10" spans="1:25" x14ac:dyDescent="0.25">
      <c r="A10" s="65">
        <v>2</v>
      </c>
      <c r="B10" s="65">
        <v>3</v>
      </c>
      <c r="C10" s="67">
        <v>43191</v>
      </c>
      <c r="D10" s="68">
        <v>43281</v>
      </c>
      <c r="E10" s="119">
        <v>6999.9999999999991</v>
      </c>
      <c r="F10" s="74">
        <f t="shared" si="1"/>
        <v>48999.999999999993</v>
      </c>
      <c r="G10" s="74">
        <v>12548</v>
      </c>
      <c r="H10" s="85">
        <f t="shared" si="2"/>
        <v>28263</v>
      </c>
      <c r="I10" s="126">
        <v>153231</v>
      </c>
      <c r="J10" s="74">
        <f t="shared" si="3"/>
        <v>1072617</v>
      </c>
      <c r="K10" s="35">
        <v>29400</v>
      </c>
      <c r="L10" s="85">
        <f t="shared" si="4"/>
        <v>146269</v>
      </c>
      <c r="M10" s="119">
        <v>3088.68</v>
      </c>
      <c r="N10" s="35">
        <f t="shared" si="5"/>
        <v>21620.76</v>
      </c>
      <c r="O10" s="35">
        <v>12555</v>
      </c>
      <c r="P10" s="128">
        <f t="shared" si="6"/>
        <v>42327</v>
      </c>
      <c r="Q10" s="126">
        <f t="shared" si="7"/>
        <v>163319.67999999999</v>
      </c>
      <c r="R10" s="35">
        <f t="shared" si="8"/>
        <v>1143237.7599999998</v>
      </c>
      <c r="S10" s="35">
        <f t="shared" si="9"/>
        <v>54503</v>
      </c>
      <c r="T10" s="35">
        <f t="shared" si="10"/>
        <v>216859</v>
      </c>
      <c r="U10" s="131">
        <f t="shared" si="0"/>
        <v>18.968845115822631</v>
      </c>
      <c r="V10" s="351">
        <v>3.2727272727272729</v>
      </c>
      <c r="W10" s="342">
        <v>0</v>
      </c>
      <c r="X10" s="344">
        <v>0</v>
      </c>
      <c r="Y10" s="342">
        <v>0</v>
      </c>
    </row>
    <row r="11" spans="1:25" x14ac:dyDescent="0.25">
      <c r="A11" s="65">
        <v>2</v>
      </c>
      <c r="B11" s="65">
        <v>4</v>
      </c>
      <c r="C11" s="67">
        <v>43282</v>
      </c>
      <c r="D11" s="68">
        <v>43373</v>
      </c>
      <c r="E11" s="119">
        <v>6999.9999999999991</v>
      </c>
      <c r="F11" s="74">
        <f t="shared" si="1"/>
        <v>55999.999999999993</v>
      </c>
      <c r="G11" s="74">
        <v>7347</v>
      </c>
      <c r="H11" s="85">
        <f t="shared" si="2"/>
        <v>35610</v>
      </c>
      <c r="I11" s="126">
        <v>153231</v>
      </c>
      <c r="J11" s="74">
        <f t="shared" si="3"/>
        <v>1225848</v>
      </c>
      <c r="K11" s="35">
        <v>77635</v>
      </c>
      <c r="L11" s="85">
        <f t="shared" si="4"/>
        <v>223904</v>
      </c>
      <c r="M11" s="119">
        <v>3088.68</v>
      </c>
      <c r="N11" s="35">
        <f t="shared" si="5"/>
        <v>24709.439999999999</v>
      </c>
      <c r="O11" s="35">
        <v>10742</v>
      </c>
      <c r="P11" s="128">
        <f t="shared" si="6"/>
        <v>53069</v>
      </c>
      <c r="Q11" s="126">
        <f t="shared" si="7"/>
        <v>163319.67999999999</v>
      </c>
      <c r="R11" s="35">
        <f t="shared" si="8"/>
        <v>1306557.4399999997</v>
      </c>
      <c r="S11" s="35">
        <f t="shared" si="9"/>
        <v>95724</v>
      </c>
      <c r="T11" s="35">
        <f t="shared" si="10"/>
        <v>312583</v>
      </c>
      <c r="U11" s="131">
        <f t="shared" si="0"/>
        <v>23.92416823251185</v>
      </c>
      <c r="V11" s="351">
        <v>3.2727272727272729</v>
      </c>
      <c r="W11" s="342">
        <v>0</v>
      </c>
      <c r="X11" s="344">
        <v>0</v>
      </c>
      <c r="Y11" s="342">
        <v>0</v>
      </c>
    </row>
    <row r="12" spans="1:25" x14ac:dyDescent="0.25">
      <c r="A12" s="65">
        <v>3</v>
      </c>
      <c r="B12" s="65">
        <v>1</v>
      </c>
      <c r="C12" s="67">
        <v>43374</v>
      </c>
      <c r="D12" s="68">
        <v>43465</v>
      </c>
      <c r="E12" s="119">
        <v>6999.9999999999991</v>
      </c>
      <c r="F12" s="74">
        <f t="shared" si="1"/>
        <v>62999.999999999993</v>
      </c>
      <c r="G12" s="74">
        <v>13334</v>
      </c>
      <c r="H12" s="85">
        <f t="shared" si="2"/>
        <v>48944</v>
      </c>
      <c r="I12" s="126">
        <v>153231</v>
      </c>
      <c r="J12" s="74">
        <f t="shared" si="3"/>
        <v>1379079</v>
      </c>
      <c r="K12" s="35">
        <v>63837</v>
      </c>
      <c r="L12" s="85">
        <f t="shared" si="4"/>
        <v>287741</v>
      </c>
      <c r="M12" s="119">
        <v>3088.68</v>
      </c>
      <c r="N12" s="35">
        <f t="shared" si="5"/>
        <v>27798.12</v>
      </c>
      <c r="O12" s="35">
        <v>2058</v>
      </c>
      <c r="P12" s="128">
        <f t="shared" si="6"/>
        <v>55127</v>
      </c>
      <c r="Q12" s="126">
        <f t="shared" si="7"/>
        <v>163319.67999999999</v>
      </c>
      <c r="R12" s="35">
        <f t="shared" si="8"/>
        <v>1469877.1199999996</v>
      </c>
      <c r="S12" s="35">
        <f t="shared" si="9"/>
        <v>79229</v>
      </c>
      <c r="T12" s="35">
        <f t="shared" si="10"/>
        <v>391812</v>
      </c>
      <c r="U12" s="131">
        <f t="shared" si="0"/>
        <v>26.656105783863083</v>
      </c>
      <c r="V12" s="351">
        <v>3.2727272727272729</v>
      </c>
      <c r="W12" s="342">
        <v>0</v>
      </c>
      <c r="X12" s="344">
        <v>0</v>
      </c>
      <c r="Y12" s="342">
        <v>0</v>
      </c>
    </row>
    <row r="13" spans="1:25" x14ac:dyDescent="0.25">
      <c r="A13" s="65">
        <v>3</v>
      </c>
      <c r="B13" s="65">
        <v>2</v>
      </c>
      <c r="C13" s="67">
        <v>43466</v>
      </c>
      <c r="D13" s="68">
        <v>43555</v>
      </c>
      <c r="E13" s="119">
        <v>6999.9999999999991</v>
      </c>
      <c r="F13" s="74">
        <f t="shared" si="1"/>
        <v>69999.999999999985</v>
      </c>
      <c r="G13" s="74">
        <v>81513</v>
      </c>
      <c r="H13" s="85">
        <f t="shared" si="2"/>
        <v>130457</v>
      </c>
      <c r="I13" s="126">
        <v>153231</v>
      </c>
      <c r="J13" s="74">
        <f t="shared" si="3"/>
        <v>1532310</v>
      </c>
      <c r="K13" s="35">
        <v>141245</v>
      </c>
      <c r="L13" s="85">
        <f t="shared" si="4"/>
        <v>428986</v>
      </c>
      <c r="M13" s="119">
        <v>3088.68</v>
      </c>
      <c r="N13" s="35">
        <f t="shared" si="5"/>
        <v>30886.799999999999</v>
      </c>
      <c r="O13" s="35">
        <v>33</v>
      </c>
      <c r="P13" s="128">
        <f t="shared" si="6"/>
        <v>55160</v>
      </c>
      <c r="Q13" s="126">
        <f t="shared" si="7"/>
        <v>163319.67999999999</v>
      </c>
      <c r="R13" s="35">
        <f t="shared" si="8"/>
        <v>1633196.7999999996</v>
      </c>
      <c r="S13" s="35">
        <f t="shared" si="9"/>
        <v>222791</v>
      </c>
      <c r="T13" s="35">
        <f t="shared" si="10"/>
        <v>614603</v>
      </c>
      <c r="U13" s="131">
        <f t="shared" si="0"/>
        <v>37.631900821750335</v>
      </c>
      <c r="V13" s="351">
        <v>3.2727272727272729</v>
      </c>
      <c r="W13" s="342">
        <v>0</v>
      </c>
      <c r="X13" s="344">
        <v>0</v>
      </c>
      <c r="Y13" s="342">
        <v>0</v>
      </c>
    </row>
    <row r="14" spans="1:25" x14ac:dyDescent="0.25">
      <c r="A14" s="65">
        <v>3</v>
      </c>
      <c r="B14" s="65">
        <v>3</v>
      </c>
      <c r="C14" s="67">
        <v>43556</v>
      </c>
      <c r="D14" s="68">
        <v>43646</v>
      </c>
      <c r="E14" s="119">
        <v>6999.9999999999991</v>
      </c>
      <c r="F14" s="74">
        <f t="shared" si="1"/>
        <v>76999.999999999985</v>
      </c>
      <c r="G14" s="74">
        <v>43912</v>
      </c>
      <c r="H14" s="85">
        <f t="shared" si="2"/>
        <v>174369</v>
      </c>
      <c r="I14" s="126">
        <v>153231</v>
      </c>
      <c r="J14" s="74">
        <f t="shared" si="3"/>
        <v>1685541</v>
      </c>
      <c r="K14" s="35">
        <v>66792</v>
      </c>
      <c r="L14" s="85">
        <f t="shared" si="4"/>
        <v>495778</v>
      </c>
      <c r="M14" s="119">
        <v>3088.68</v>
      </c>
      <c r="N14" s="35">
        <f t="shared" si="5"/>
        <v>33975.479999999996</v>
      </c>
      <c r="O14" s="35">
        <v>4165</v>
      </c>
      <c r="P14" s="128">
        <f t="shared" si="6"/>
        <v>59325</v>
      </c>
      <c r="Q14" s="126">
        <f t="shared" si="7"/>
        <v>163319.67999999999</v>
      </c>
      <c r="R14" s="35">
        <f t="shared" si="8"/>
        <v>1796516.4799999995</v>
      </c>
      <c r="S14" s="35">
        <f t="shared" si="9"/>
        <v>114869</v>
      </c>
      <c r="T14" s="35">
        <f t="shared" si="10"/>
        <v>729472</v>
      </c>
      <c r="U14" s="131">
        <f t="shared" si="0"/>
        <v>40.604804248720292</v>
      </c>
      <c r="V14" s="351">
        <v>3.2727272727272729</v>
      </c>
      <c r="W14" s="342">
        <v>0</v>
      </c>
      <c r="X14" s="344">
        <v>0</v>
      </c>
      <c r="Y14" s="342">
        <v>0</v>
      </c>
    </row>
    <row r="15" spans="1:25" x14ac:dyDescent="0.25">
      <c r="A15" s="65">
        <v>3</v>
      </c>
      <c r="B15" s="65">
        <v>4</v>
      </c>
      <c r="C15" s="67">
        <v>43653</v>
      </c>
      <c r="D15" s="68">
        <v>43738</v>
      </c>
      <c r="E15" s="119">
        <v>6999.9999999999991</v>
      </c>
      <c r="F15" s="74">
        <f t="shared" si="1"/>
        <v>83999.999999999985</v>
      </c>
      <c r="G15" s="74">
        <v>628</v>
      </c>
      <c r="H15" s="85">
        <f t="shared" si="2"/>
        <v>174997</v>
      </c>
      <c r="I15" s="126">
        <v>153231</v>
      </c>
      <c r="J15" s="74">
        <f t="shared" si="3"/>
        <v>1838772</v>
      </c>
      <c r="K15" s="35">
        <v>95967</v>
      </c>
      <c r="L15" s="85">
        <f t="shared" si="4"/>
        <v>591745</v>
      </c>
      <c r="M15" s="119">
        <v>3088.68</v>
      </c>
      <c r="N15" s="35">
        <f t="shared" si="5"/>
        <v>37064.159999999996</v>
      </c>
      <c r="O15" s="35">
        <v>6464</v>
      </c>
      <c r="P15" s="128">
        <f t="shared" si="6"/>
        <v>65789</v>
      </c>
      <c r="Q15" s="126">
        <f t="shared" si="7"/>
        <v>163319.67999999999</v>
      </c>
      <c r="R15" s="35">
        <f t="shared" si="8"/>
        <v>1959836.1599999995</v>
      </c>
      <c r="S15" s="35">
        <f t="shared" si="9"/>
        <v>103059</v>
      </c>
      <c r="T15" s="35">
        <f t="shared" si="10"/>
        <v>832531</v>
      </c>
      <c r="U15" s="131">
        <f t="shared" si="0"/>
        <v>42.479622378229834</v>
      </c>
      <c r="V15" s="351">
        <v>3.2727272727272729</v>
      </c>
      <c r="W15" s="342">
        <v>0</v>
      </c>
      <c r="X15" s="344">
        <v>0</v>
      </c>
      <c r="Y15" s="342">
        <v>0</v>
      </c>
    </row>
    <row r="16" spans="1:25" x14ac:dyDescent="0.25">
      <c r="A16" s="65">
        <v>4</v>
      </c>
      <c r="B16" s="65">
        <v>1</v>
      </c>
      <c r="C16" s="67">
        <v>43739</v>
      </c>
      <c r="D16" s="68">
        <v>43830</v>
      </c>
      <c r="E16" s="119">
        <v>6999.9999999999991</v>
      </c>
      <c r="F16" s="74">
        <f t="shared" si="1"/>
        <v>90999.999999999985</v>
      </c>
      <c r="G16" s="74">
        <v>3</v>
      </c>
      <c r="H16" s="85">
        <f t="shared" si="2"/>
        <v>175000</v>
      </c>
      <c r="I16" s="126">
        <v>153231</v>
      </c>
      <c r="J16" s="74">
        <f t="shared" si="3"/>
        <v>1992003</v>
      </c>
      <c r="K16" s="35">
        <v>153936</v>
      </c>
      <c r="L16" s="85">
        <f t="shared" si="4"/>
        <v>745681</v>
      </c>
      <c r="M16" s="119">
        <v>3088.68</v>
      </c>
      <c r="N16" s="35">
        <f t="shared" si="5"/>
        <v>40152.839999999997</v>
      </c>
      <c r="O16" s="35">
        <v>8045</v>
      </c>
      <c r="P16" s="128">
        <f t="shared" si="6"/>
        <v>73834</v>
      </c>
      <c r="Q16" s="126">
        <f t="shared" si="7"/>
        <v>163319.67999999999</v>
      </c>
      <c r="R16" s="35">
        <f t="shared" si="8"/>
        <v>2123155.8399999994</v>
      </c>
      <c r="S16" s="35">
        <f t="shared" si="9"/>
        <v>161984</v>
      </c>
      <c r="T16" s="35">
        <f t="shared" si="10"/>
        <v>994515</v>
      </c>
      <c r="U16" s="131">
        <f t="shared" si="0"/>
        <v>46.841356685338759</v>
      </c>
      <c r="V16" s="351">
        <v>3.2727272727272729</v>
      </c>
      <c r="W16" s="342">
        <v>0</v>
      </c>
      <c r="X16" s="344">
        <v>0</v>
      </c>
      <c r="Y16" s="342">
        <v>1</v>
      </c>
    </row>
    <row r="17" spans="1:25" x14ac:dyDescent="0.25">
      <c r="A17" s="65">
        <v>4</v>
      </c>
      <c r="B17" s="65">
        <v>2</v>
      </c>
      <c r="C17" s="67">
        <v>43831</v>
      </c>
      <c r="D17" s="68">
        <v>43921</v>
      </c>
      <c r="E17" s="119">
        <v>6999.9999999999991</v>
      </c>
      <c r="F17" s="74">
        <f t="shared" si="1"/>
        <v>97999.999999999985</v>
      </c>
      <c r="G17" s="74">
        <v>0</v>
      </c>
      <c r="H17" s="85">
        <f t="shared" si="2"/>
        <v>175000</v>
      </c>
      <c r="I17" s="126">
        <v>153231</v>
      </c>
      <c r="J17" s="74">
        <f t="shared" si="3"/>
        <v>2145234</v>
      </c>
      <c r="K17" s="35">
        <v>82911</v>
      </c>
      <c r="L17" s="85">
        <f t="shared" si="4"/>
        <v>828592</v>
      </c>
      <c r="M17" s="119">
        <v>3088.68</v>
      </c>
      <c r="N17" s="35">
        <f t="shared" si="5"/>
        <v>43241.52</v>
      </c>
      <c r="O17" s="35">
        <v>977</v>
      </c>
      <c r="P17" s="128">
        <f t="shared" si="6"/>
        <v>74811</v>
      </c>
      <c r="Q17" s="126">
        <f>SUM(E17+I17+M17)</f>
        <v>163319.67999999999</v>
      </c>
      <c r="R17" s="35">
        <f t="shared" si="8"/>
        <v>2286475.5199999996</v>
      </c>
      <c r="S17" s="35">
        <f t="shared" si="9"/>
        <v>83888</v>
      </c>
      <c r="T17" s="35">
        <f t="shared" si="10"/>
        <v>1078403</v>
      </c>
      <c r="U17" s="131">
        <f t="shared" si="0"/>
        <v>47.164423610360814</v>
      </c>
      <c r="V17" s="351">
        <v>3.2727272727272729</v>
      </c>
      <c r="W17" s="342">
        <v>0</v>
      </c>
      <c r="X17" s="344">
        <v>1</v>
      </c>
      <c r="Y17" s="342">
        <v>0</v>
      </c>
    </row>
    <row r="18" spans="1:25" x14ac:dyDescent="0.25">
      <c r="A18" s="65">
        <v>4</v>
      </c>
      <c r="B18" s="65">
        <v>3</v>
      </c>
      <c r="C18" s="67">
        <v>43922</v>
      </c>
      <c r="D18" s="68">
        <v>44012</v>
      </c>
      <c r="E18" s="119">
        <v>6999.9999999999991</v>
      </c>
      <c r="F18" s="74">
        <f t="shared" si="1"/>
        <v>104999.99999999999</v>
      </c>
      <c r="G18" s="74">
        <v>0</v>
      </c>
      <c r="H18" s="85">
        <f t="shared" si="2"/>
        <v>175000</v>
      </c>
      <c r="I18" s="126">
        <v>153231</v>
      </c>
      <c r="J18" s="74">
        <f t="shared" si="3"/>
        <v>2298465</v>
      </c>
      <c r="K18" s="35">
        <v>98182</v>
      </c>
      <c r="L18" s="85">
        <f t="shared" si="4"/>
        <v>926774</v>
      </c>
      <c r="M18" s="119">
        <v>3088.68</v>
      </c>
      <c r="N18" s="35">
        <f t="shared" si="5"/>
        <v>46330.2</v>
      </c>
      <c r="O18" s="35">
        <v>419</v>
      </c>
      <c r="P18" s="128">
        <f t="shared" si="6"/>
        <v>75230</v>
      </c>
      <c r="Q18" s="126">
        <f t="shared" si="7"/>
        <v>163319.67999999999</v>
      </c>
      <c r="R18" s="35">
        <f t="shared" si="8"/>
        <v>2449795.1999999997</v>
      </c>
      <c r="S18" s="35">
        <f t="shared" si="9"/>
        <v>98601</v>
      </c>
      <c r="T18" s="35">
        <f t="shared" si="10"/>
        <v>1177004</v>
      </c>
      <c r="U18" s="131">
        <f t="shared" si="0"/>
        <v>48.044995761278336</v>
      </c>
      <c r="V18" s="351">
        <v>3.2727272727272729</v>
      </c>
      <c r="W18" s="342">
        <v>0</v>
      </c>
      <c r="X18" s="344">
        <v>0</v>
      </c>
      <c r="Y18" s="342">
        <v>0</v>
      </c>
    </row>
    <row r="19" spans="1:25" x14ac:dyDescent="0.25">
      <c r="A19" s="65">
        <v>4</v>
      </c>
      <c r="B19" s="65">
        <v>4</v>
      </c>
      <c r="C19" s="67">
        <v>44013</v>
      </c>
      <c r="D19" s="68">
        <v>44104</v>
      </c>
      <c r="E19" s="119">
        <v>6999.9999999999991</v>
      </c>
      <c r="F19" s="74">
        <f t="shared" si="1"/>
        <v>111999.99999999999</v>
      </c>
      <c r="G19" s="74">
        <v>0</v>
      </c>
      <c r="H19" s="85">
        <f t="shared" si="2"/>
        <v>175000</v>
      </c>
      <c r="I19" s="126">
        <v>153231</v>
      </c>
      <c r="J19" s="74">
        <f t="shared" si="3"/>
        <v>2451696</v>
      </c>
      <c r="K19" s="35">
        <v>66396</v>
      </c>
      <c r="L19" s="85">
        <f t="shared" si="4"/>
        <v>993170</v>
      </c>
      <c r="M19" s="119">
        <v>3088.68</v>
      </c>
      <c r="N19" s="35">
        <f t="shared" si="5"/>
        <v>49418.879999999997</v>
      </c>
      <c r="O19" s="35">
        <v>93</v>
      </c>
      <c r="P19" s="128">
        <f t="shared" si="6"/>
        <v>75323</v>
      </c>
      <c r="Q19" s="126">
        <f t="shared" si="7"/>
        <v>163319.67999999999</v>
      </c>
      <c r="R19" s="35">
        <f t="shared" si="8"/>
        <v>2613114.8799999999</v>
      </c>
      <c r="S19" s="35">
        <f t="shared" si="9"/>
        <v>66489</v>
      </c>
      <c r="T19" s="35">
        <f t="shared" si="10"/>
        <v>1243493</v>
      </c>
      <c r="U19" s="131">
        <f t="shared" si="0"/>
        <v>47.58661815893835</v>
      </c>
      <c r="V19" s="351">
        <v>3.2727272727272729</v>
      </c>
      <c r="W19" s="342">
        <v>0</v>
      </c>
      <c r="X19" s="344">
        <v>0</v>
      </c>
      <c r="Y19" s="342">
        <v>0</v>
      </c>
    </row>
    <row r="20" spans="1:25" x14ac:dyDescent="0.25">
      <c r="A20" s="65">
        <v>5</v>
      </c>
      <c r="B20" s="65">
        <v>1</v>
      </c>
      <c r="C20" s="67">
        <v>44105</v>
      </c>
      <c r="D20" s="68">
        <v>44196</v>
      </c>
      <c r="E20" s="119">
        <v>6999.9999999999991</v>
      </c>
      <c r="F20" s="74">
        <f t="shared" si="1"/>
        <v>118999.99999999999</v>
      </c>
      <c r="G20" s="74">
        <v>0</v>
      </c>
      <c r="H20" s="85">
        <f t="shared" si="2"/>
        <v>175000</v>
      </c>
      <c r="I20" s="126">
        <v>153231</v>
      </c>
      <c r="J20" s="74">
        <f t="shared" si="3"/>
        <v>2604927</v>
      </c>
      <c r="K20" s="35">
        <v>450747</v>
      </c>
      <c r="L20" s="85">
        <f t="shared" si="4"/>
        <v>1443917</v>
      </c>
      <c r="M20" s="119">
        <v>3088.68</v>
      </c>
      <c r="N20" s="35">
        <f t="shared" si="5"/>
        <v>52507.56</v>
      </c>
      <c r="O20" s="35">
        <v>744</v>
      </c>
      <c r="P20" s="128">
        <f t="shared" si="6"/>
        <v>76067</v>
      </c>
      <c r="Q20" s="126">
        <f t="shared" si="7"/>
        <v>163319.67999999999</v>
      </c>
      <c r="R20" s="35">
        <f t="shared" si="8"/>
        <v>2776434.56</v>
      </c>
      <c r="S20" s="35">
        <f t="shared" si="9"/>
        <v>451491</v>
      </c>
      <c r="T20" s="35">
        <f t="shared" si="10"/>
        <v>1694984</v>
      </c>
      <c r="U20" s="131">
        <f t="shared" si="0"/>
        <v>61.048944730035345</v>
      </c>
      <c r="V20" s="351">
        <v>3.2727272727272729</v>
      </c>
      <c r="W20" s="342">
        <v>2</v>
      </c>
      <c r="X20" s="344">
        <v>0</v>
      </c>
      <c r="Y20" s="342">
        <v>0</v>
      </c>
    </row>
    <row r="21" spans="1:25" x14ac:dyDescent="0.25">
      <c r="A21" s="65">
        <v>5</v>
      </c>
      <c r="B21" s="65">
        <v>2</v>
      </c>
      <c r="C21" s="67">
        <v>44197</v>
      </c>
      <c r="D21" s="68">
        <v>44286</v>
      </c>
      <c r="E21" s="119">
        <v>6999.9999999999991</v>
      </c>
      <c r="F21" s="74">
        <f t="shared" si="1"/>
        <v>125999.99999999999</v>
      </c>
      <c r="G21" s="74">
        <v>0</v>
      </c>
      <c r="H21" s="85">
        <f t="shared" si="2"/>
        <v>175000</v>
      </c>
      <c r="I21" s="126">
        <v>153231</v>
      </c>
      <c r="J21" s="74">
        <f t="shared" si="3"/>
        <v>2758158</v>
      </c>
      <c r="K21" s="35">
        <v>148272</v>
      </c>
      <c r="L21" s="85">
        <f t="shared" si="4"/>
        <v>1592189</v>
      </c>
      <c r="M21" s="119">
        <v>3088.68</v>
      </c>
      <c r="N21" s="35">
        <f t="shared" si="5"/>
        <v>55596.24</v>
      </c>
      <c r="O21" s="35">
        <v>837</v>
      </c>
      <c r="P21" s="128">
        <f t="shared" si="6"/>
        <v>76904</v>
      </c>
      <c r="Q21" s="126">
        <f t="shared" si="7"/>
        <v>163319.67999999999</v>
      </c>
      <c r="R21" s="35">
        <f t="shared" si="8"/>
        <v>2939754.24</v>
      </c>
      <c r="S21" s="35">
        <f t="shared" si="9"/>
        <v>149109</v>
      </c>
      <c r="T21" s="35">
        <f t="shared" si="10"/>
        <v>1844093</v>
      </c>
      <c r="U21" s="131">
        <f t="shared" si="0"/>
        <v>62.729495374416054</v>
      </c>
      <c r="V21" s="351">
        <v>3.2727272727272729</v>
      </c>
      <c r="W21" s="342">
        <v>0</v>
      </c>
      <c r="X21" s="344">
        <v>0</v>
      </c>
      <c r="Y21" s="342">
        <v>0</v>
      </c>
    </row>
    <row r="22" spans="1:25" x14ac:dyDescent="0.25">
      <c r="A22" s="65">
        <v>5</v>
      </c>
      <c r="B22" s="65">
        <v>3</v>
      </c>
      <c r="C22" s="67">
        <v>44287</v>
      </c>
      <c r="D22" s="68">
        <v>44377</v>
      </c>
      <c r="E22" s="119">
        <v>6999.9999999999991</v>
      </c>
      <c r="F22" s="74">
        <f t="shared" si="1"/>
        <v>132999.99999999997</v>
      </c>
      <c r="G22" s="74">
        <v>0</v>
      </c>
      <c r="H22" s="85">
        <f t="shared" si="2"/>
        <v>175000</v>
      </c>
      <c r="I22" s="126">
        <v>153231</v>
      </c>
      <c r="J22" s="74">
        <f t="shared" si="3"/>
        <v>2911389</v>
      </c>
      <c r="K22" s="35">
        <v>95244</v>
      </c>
      <c r="L22" s="85">
        <f t="shared" si="4"/>
        <v>1687433</v>
      </c>
      <c r="M22" s="119">
        <v>3088.68</v>
      </c>
      <c r="N22" s="35">
        <f t="shared" si="5"/>
        <v>58684.92</v>
      </c>
      <c r="O22" s="35">
        <v>186</v>
      </c>
      <c r="P22" s="128">
        <f t="shared" si="6"/>
        <v>77090</v>
      </c>
      <c r="Q22" s="126">
        <f t="shared" si="7"/>
        <v>163319.67999999999</v>
      </c>
      <c r="R22" s="35">
        <f t="shared" si="8"/>
        <v>3103073.9200000004</v>
      </c>
      <c r="S22" s="35">
        <f t="shared" si="9"/>
        <v>95430</v>
      </c>
      <c r="T22" s="35">
        <f t="shared" si="10"/>
        <v>1939523</v>
      </c>
      <c r="U22" s="131">
        <f t="shared" si="0"/>
        <v>62.503280617949308</v>
      </c>
      <c r="V22" s="351">
        <v>3.2727272727272729</v>
      </c>
      <c r="W22" s="342">
        <v>20</v>
      </c>
      <c r="X22" s="344">
        <v>0</v>
      </c>
      <c r="Y22" s="342">
        <v>0</v>
      </c>
    </row>
    <row r="23" spans="1:25" x14ac:dyDescent="0.25">
      <c r="A23" s="65">
        <v>5</v>
      </c>
      <c r="B23" s="65">
        <v>4</v>
      </c>
      <c r="C23" s="67">
        <v>44378</v>
      </c>
      <c r="D23" s="68">
        <v>44469</v>
      </c>
      <c r="E23" s="119">
        <v>6999.9999999999991</v>
      </c>
      <c r="F23" s="74">
        <f t="shared" si="1"/>
        <v>139999.99999999997</v>
      </c>
      <c r="G23" s="74">
        <v>0</v>
      </c>
      <c r="H23" s="85">
        <f t="shared" si="2"/>
        <v>175000</v>
      </c>
      <c r="I23" s="126">
        <v>153231</v>
      </c>
      <c r="J23" s="74">
        <f t="shared" si="3"/>
        <v>3064620</v>
      </c>
      <c r="K23" s="35">
        <v>35511</v>
      </c>
      <c r="L23" s="85">
        <f t="shared" si="4"/>
        <v>1722944</v>
      </c>
      <c r="M23" s="119">
        <v>3088.68</v>
      </c>
      <c r="N23" s="35">
        <f t="shared" si="5"/>
        <v>61773.599999999999</v>
      </c>
      <c r="O23" s="35">
        <v>0</v>
      </c>
      <c r="P23" s="128">
        <f t="shared" si="6"/>
        <v>77090</v>
      </c>
      <c r="Q23" s="126">
        <f t="shared" si="7"/>
        <v>163319.67999999999</v>
      </c>
      <c r="R23" s="35">
        <f t="shared" si="8"/>
        <v>3266393.6000000006</v>
      </c>
      <c r="S23" s="35">
        <f t="shared" si="9"/>
        <v>35511</v>
      </c>
      <c r="T23" s="35">
        <f t="shared" si="10"/>
        <v>1975034</v>
      </c>
      <c r="U23" s="131">
        <f t="shared" si="0"/>
        <v>60.465278893517294</v>
      </c>
      <c r="V23" s="351">
        <v>3.2727272727272729</v>
      </c>
      <c r="W23" s="342">
        <v>0</v>
      </c>
      <c r="X23" s="344">
        <v>0</v>
      </c>
      <c r="Y23" s="342">
        <v>0</v>
      </c>
    </row>
    <row r="24" spans="1:25" x14ac:dyDescent="0.25">
      <c r="A24" s="65">
        <v>6</v>
      </c>
      <c r="B24" s="65">
        <v>1</v>
      </c>
      <c r="C24" s="67">
        <v>44470</v>
      </c>
      <c r="D24" s="68">
        <v>44561</v>
      </c>
      <c r="E24" s="119">
        <v>6999.9999999999991</v>
      </c>
      <c r="F24" s="74">
        <f t="shared" ref="F24" si="11">SUM(F23+E24)</f>
        <v>146999.99999999997</v>
      </c>
      <c r="G24" s="74">
        <v>0</v>
      </c>
      <c r="H24" s="85">
        <f t="shared" ref="H24" si="12">SUM(H23+G24)</f>
        <v>175000</v>
      </c>
      <c r="I24" s="126">
        <v>153231</v>
      </c>
      <c r="J24" s="74">
        <f t="shared" ref="J24" si="13">SUM(J23+I24)</f>
        <v>3217851</v>
      </c>
      <c r="K24" s="35">
        <v>287471</v>
      </c>
      <c r="L24" s="85">
        <f t="shared" ref="L24" si="14">SUM(L23+K24)</f>
        <v>2010415</v>
      </c>
      <c r="M24" s="119">
        <v>3088.68</v>
      </c>
      <c r="N24" s="35">
        <f t="shared" si="5"/>
        <v>64862.28</v>
      </c>
      <c r="O24" s="35">
        <v>0</v>
      </c>
      <c r="P24" s="128">
        <f t="shared" si="6"/>
        <v>77090</v>
      </c>
      <c r="Q24" s="126">
        <f t="shared" si="7"/>
        <v>163319.67999999999</v>
      </c>
      <c r="R24" s="35">
        <f t="shared" si="8"/>
        <v>3429713.2800000007</v>
      </c>
      <c r="S24" s="35">
        <f t="shared" si="9"/>
        <v>287471</v>
      </c>
      <c r="T24" s="35">
        <f t="shared" si="10"/>
        <v>2262505</v>
      </c>
      <c r="U24" s="131">
        <f t="shared" si="0"/>
        <v>65.967759264121327</v>
      </c>
      <c r="V24" s="351">
        <v>3.2727272727272729</v>
      </c>
      <c r="W24" s="342">
        <v>13</v>
      </c>
      <c r="X24" s="344">
        <v>0</v>
      </c>
      <c r="Y24" s="342">
        <v>0</v>
      </c>
    </row>
    <row r="25" spans="1:25" x14ac:dyDescent="0.25">
      <c r="A25" s="65">
        <v>6</v>
      </c>
      <c r="B25" s="65">
        <v>2</v>
      </c>
      <c r="C25" s="67">
        <v>44562</v>
      </c>
      <c r="D25" s="68">
        <v>44651</v>
      </c>
      <c r="E25" s="119">
        <v>6999.9999999999991</v>
      </c>
      <c r="F25" s="74">
        <f t="shared" ref="F25:F29" si="15">SUM(F24+E25)</f>
        <v>153999.99999999997</v>
      </c>
      <c r="G25" s="74">
        <v>0</v>
      </c>
      <c r="H25" s="85">
        <f t="shared" ref="H25:H29" si="16">SUM(H24+G25)</f>
        <v>175000</v>
      </c>
      <c r="I25" s="126">
        <v>153231</v>
      </c>
      <c r="J25" s="74">
        <f t="shared" ref="J25:J29" si="17">SUM(J24+I25)</f>
        <v>3371082</v>
      </c>
      <c r="K25" s="35">
        <v>201468</v>
      </c>
      <c r="L25" s="85">
        <f t="shared" ref="L25:L29" si="18">SUM(L24+K25)</f>
        <v>2211883</v>
      </c>
      <c r="M25" s="119">
        <v>3088.68</v>
      </c>
      <c r="N25" s="35">
        <f t="shared" si="5"/>
        <v>67950.959999999992</v>
      </c>
      <c r="O25" s="35">
        <v>127</v>
      </c>
      <c r="P25" s="128">
        <f t="shared" si="6"/>
        <v>77217</v>
      </c>
      <c r="Q25" s="126">
        <f t="shared" si="7"/>
        <v>163319.67999999999</v>
      </c>
      <c r="R25" s="35">
        <f t="shared" si="8"/>
        <v>3593032.9600000009</v>
      </c>
      <c r="S25" s="35">
        <f t="shared" si="9"/>
        <v>201595</v>
      </c>
      <c r="T25" s="35">
        <f t="shared" si="10"/>
        <v>2464100</v>
      </c>
      <c r="U25" s="131">
        <f t="shared" si="0"/>
        <v>68.579944226283956</v>
      </c>
      <c r="V25" s="351">
        <v>3.2727272727272729</v>
      </c>
      <c r="W25" s="342">
        <v>0</v>
      </c>
      <c r="X25" s="344">
        <v>0</v>
      </c>
      <c r="Y25" s="342">
        <v>0</v>
      </c>
    </row>
    <row r="26" spans="1:25" x14ac:dyDescent="0.25">
      <c r="A26" s="65">
        <v>6</v>
      </c>
      <c r="B26" s="65">
        <v>3</v>
      </c>
      <c r="C26" s="67">
        <v>44652</v>
      </c>
      <c r="D26" s="68">
        <v>44742</v>
      </c>
      <c r="E26" s="119">
        <v>6999.9999999999991</v>
      </c>
      <c r="F26" s="74">
        <f t="shared" si="15"/>
        <v>160999.99999999997</v>
      </c>
      <c r="G26" s="74">
        <v>0</v>
      </c>
      <c r="H26" s="85">
        <f t="shared" si="16"/>
        <v>175000</v>
      </c>
      <c r="I26" s="126">
        <v>153231</v>
      </c>
      <c r="J26" s="74">
        <f t="shared" si="17"/>
        <v>3524313</v>
      </c>
      <c r="K26" s="35">
        <v>160747</v>
      </c>
      <c r="L26" s="85">
        <f t="shared" si="18"/>
        <v>2372630</v>
      </c>
      <c r="M26" s="119">
        <v>3088.68</v>
      </c>
      <c r="N26" s="35">
        <f t="shared" ref="N26:N29" si="19">SUM(N25+M26)</f>
        <v>71039.639999999985</v>
      </c>
      <c r="O26" s="35">
        <v>0</v>
      </c>
      <c r="P26" s="128">
        <f t="shared" ref="P26:P29" si="20">SUM(P25+O26)</f>
        <v>77217</v>
      </c>
      <c r="Q26" s="126">
        <f t="shared" si="7"/>
        <v>163319.67999999999</v>
      </c>
      <c r="R26" s="35">
        <f t="shared" si="8"/>
        <v>3756352.6400000011</v>
      </c>
      <c r="S26" s="35">
        <f t="shared" si="9"/>
        <v>160747</v>
      </c>
      <c r="T26" s="35">
        <f t="shared" si="10"/>
        <v>2624847</v>
      </c>
      <c r="U26" s="131">
        <f t="shared" si="0"/>
        <v>69.87754483029579</v>
      </c>
      <c r="V26" s="351">
        <v>3.2727272727272729</v>
      </c>
      <c r="W26" s="342">
        <v>0</v>
      </c>
      <c r="X26" s="344">
        <v>0</v>
      </c>
      <c r="Y26" s="342">
        <v>0</v>
      </c>
    </row>
    <row r="27" spans="1:25" x14ac:dyDescent="0.25">
      <c r="A27" s="65">
        <v>6</v>
      </c>
      <c r="B27" s="65">
        <v>4</v>
      </c>
      <c r="C27" s="67">
        <v>44743</v>
      </c>
      <c r="D27" s="68">
        <v>44834</v>
      </c>
      <c r="E27" s="119">
        <v>6999.9999999999991</v>
      </c>
      <c r="F27" s="74">
        <f t="shared" si="15"/>
        <v>167999.99999999997</v>
      </c>
      <c r="G27" s="74">
        <v>0</v>
      </c>
      <c r="H27" s="85">
        <f t="shared" si="16"/>
        <v>175000</v>
      </c>
      <c r="I27" s="126">
        <v>153231</v>
      </c>
      <c r="J27" s="74">
        <f t="shared" si="17"/>
        <v>3677544</v>
      </c>
      <c r="K27" s="35">
        <v>614845</v>
      </c>
      <c r="L27" s="85">
        <f t="shared" si="18"/>
        <v>2987475</v>
      </c>
      <c r="M27" s="119">
        <v>3088.68</v>
      </c>
      <c r="N27" s="35">
        <f t="shared" si="19"/>
        <v>74128.319999999978</v>
      </c>
      <c r="O27" s="35">
        <v>0</v>
      </c>
      <c r="P27" s="128">
        <f t="shared" si="20"/>
        <v>77217</v>
      </c>
      <c r="Q27" s="126">
        <f t="shared" si="7"/>
        <v>163319.67999999999</v>
      </c>
      <c r="R27" s="35">
        <f t="shared" si="8"/>
        <v>3919672.3200000012</v>
      </c>
      <c r="S27" s="35">
        <f t="shared" si="9"/>
        <v>614845</v>
      </c>
      <c r="T27" s="35">
        <f t="shared" si="10"/>
        <v>3239692</v>
      </c>
      <c r="U27" s="131">
        <f t="shared" si="0"/>
        <v>82.65211312357863</v>
      </c>
      <c r="V27" s="351">
        <v>3.2727272727272729</v>
      </c>
      <c r="W27" s="342">
        <v>0</v>
      </c>
      <c r="X27" s="344">
        <v>0</v>
      </c>
      <c r="Y27" s="342">
        <v>0</v>
      </c>
    </row>
    <row r="28" spans="1:25" x14ac:dyDescent="0.25">
      <c r="A28" s="65">
        <v>7</v>
      </c>
      <c r="B28" s="65">
        <v>1</v>
      </c>
      <c r="C28" s="67">
        <v>44835</v>
      </c>
      <c r="D28" s="68">
        <v>44926</v>
      </c>
      <c r="E28" s="119">
        <v>6999.9999999999991</v>
      </c>
      <c r="F28" s="74">
        <f t="shared" si="15"/>
        <v>174999.99999999997</v>
      </c>
      <c r="G28" s="74">
        <v>0</v>
      </c>
      <c r="H28" s="85">
        <f t="shared" si="16"/>
        <v>175000</v>
      </c>
      <c r="I28" s="126">
        <v>153231</v>
      </c>
      <c r="J28" s="74">
        <f t="shared" si="17"/>
        <v>3830775</v>
      </c>
      <c r="K28" s="35">
        <v>409559</v>
      </c>
      <c r="L28" s="85">
        <f t="shared" si="18"/>
        <v>3397034</v>
      </c>
      <c r="M28" s="119">
        <v>3088.68</v>
      </c>
      <c r="N28" s="35">
        <f t="shared" si="19"/>
        <v>77216.999999999971</v>
      </c>
      <c r="O28" s="35">
        <v>0</v>
      </c>
      <c r="P28" s="128">
        <f t="shared" si="20"/>
        <v>77217</v>
      </c>
      <c r="Q28" s="126">
        <f t="shared" si="7"/>
        <v>163319.67999999999</v>
      </c>
      <c r="R28" s="35">
        <f t="shared" si="8"/>
        <v>4082992.0000000014</v>
      </c>
      <c r="S28" s="35">
        <f t="shared" si="9"/>
        <v>409559</v>
      </c>
      <c r="T28" s="35">
        <f t="shared" si="10"/>
        <v>3649251</v>
      </c>
      <c r="U28" s="131">
        <f>SUM(T28/R28)*100</f>
        <v>89.376883422744854</v>
      </c>
      <c r="V28" s="351">
        <v>3.2727272727272729</v>
      </c>
      <c r="W28" s="345"/>
      <c r="X28" s="345"/>
      <c r="Y28" s="342"/>
    </row>
    <row r="29" spans="1:25" x14ac:dyDescent="0.25">
      <c r="A29" s="65">
        <v>7</v>
      </c>
      <c r="B29" s="65">
        <v>2</v>
      </c>
      <c r="C29" s="67">
        <v>44927</v>
      </c>
      <c r="D29" s="68">
        <v>45016</v>
      </c>
      <c r="E29" s="119"/>
      <c r="F29" s="74">
        <f t="shared" si="15"/>
        <v>174999.99999999997</v>
      </c>
      <c r="G29" s="74">
        <v>0</v>
      </c>
      <c r="H29" s="85">
        <f t="shared" si="16"/>
        <v>175000</v>
      </c>
      <c r="I29" s="126"/>
      <c r="J29" s="74">
        <f t="shared" si="17"/>
        <v>3830775</v>
      </c>
      <c r="K29" s="35">
        <f>128082+529770</f>
        <v>657852</v>
      </c>
      <c r="L29" s="85">
        <f t="shared" si="18"/>
        <v>4054886</v>
      </c>
      <c r="M29" s="119"/>
      <c r="N29" s="35">
        <f t="shared" si="19"/>
        <v>77216.999999999971</v>
      </c>
      <c r="O29" s="35">
        <v>0</v>
      </c>
      <c r="P29" s="128">
        <f t="shared" si="20"/>
        <v>77217</v>
      </c>
      <c r="Q29" s="126">
        <f>SUM(E29+I29+M29)</f>
        <v>0</v>
      </c>
      <c r="R29" s="35">
        <f>SUM(R28+Q29)</f>
        <v>4082992.0000000014</v>
      </c>
      <c r="S29" s="35">
        <f t="shared" si="9"/>
        <v>657852</v>
      </c>
      <c r="T29" s="35">
        <f t="shared" si="10"/>
        <v>4307103</v>
      </c>
      <c r="U29" s="131">
        <f>SUM(T29/R29)*100</f>
        <v>105.48889147958161</v>
      </c>
      <c r="V29" s="345"/>
      <c r="W29" s="345"/>
      <c r="X29" s="345"/>
      <c r="Y29" s="345"/>
    </row>
    <row r="30" spans="1:25" ht="15.75" thickBot="1" x14ac:dyDescent="0.3">
      <c r="A30" s="113"/>
      <c r="B30" s="113"/>
      <c r="C30" s="114"/>
      <c r="D30" s="115"/>
      <c r="E30" s="120">
        <f>SUM(E4:E29)</f>
        <v>174999.99999999997</v>
      </c>
      <c r="F30" s="121" t="s">
        <v>71</v>
      </c>
      <c r="G30" s="121" t="s">
        <v>19</v>
      </c>
      <c r="H30" s="122">
        <f>SUM(E30-H29)</f>
        <v>-2.9103830456733704E-11</v>
      </c>
      <c r="I30" s="127">
        <v>4054886</v>
      </c>
      <c r="J30" s="121" t="s">
        <v>71</v>
      </c>
      <c r="K30" s="121" t="s">
        <v>19</v>
      </c>
      <c r="L30" s="122">
        <f>SUM(I30-L29)</f>
        <v>0</v>
      </c>
      <c r="M30" s="127">
        <f>SUM(M4:M29)</f>
        <v>77216.999999999971</v>
      </c>
      <c r="N30" s="121" t="s">
        <v>71</v>
      </c>
      <c r="O30" s="121" t="s">
        <v>19</v>
      </c>
      <c r="P30" s="122">
        <f>SUM(M30-P29)</f>
        <v>-2.9103830456733704E-11</v>
      </c>
      <c r="Q30" s="127">
        <v>4432126</v>
      </c>
      <c r="R30" s="121" t="s">
        <v>71</v>
      </c>
      <c r="S30" s="121" t="s">
        <v>19</v>
      </c>
      <c r="T30" s="132">
        <f>SUM(Q30-T26)</f>
        <v>1807279</v>
      </c>
      <c r="U30" s="133"/>
      <c r="V30" s="345">
        <f>SUM(V4:V29)</f>
        <v>71.999999999999986</v>
      </c>
      <c r="W30" s="345">
        <f t="shared" ref="W30:Y30" si="21">SUM(W4:W29)</f>
        <v>35</v>
      </c>
      <c r="X30" s="345">
        <f t="shared" si="21"/>
        <v>1</v>
      </c>
      <c r="Y30" s="345">
        <f t="shared" si="21"/>
        <v>1</v>
      </c>
    </row>
    <row r="31" spans="1:25" ht="15.75" thickTop="1" x14ac:dyDescent="0.25">
      <c r="A31" s="19"/>
      <c r="B31" s="19"/>
      <c r="C31" s="8"/>
      <c r="D31" s="8"/>
      <c r="E31" s="88"/>
      <c r="F31" s="8"/>
      <c r="G31" s="8"/>
      <c r="H31" s="8"/>
      <c r="I31" s="9"/>
      <c r="J31" s="8"/>
      <c r="K31" s="8"/>
      <c r="L31" s="8"/>
      <c r="M31" s="36"/>
      <c r="N31" s="8"/>
      <c r="O31" s="8"/>
      <c r="P31" s="8"/>
      <c r="U31" s="10"/>
    </row>
    <row r="32" spans="1:25" x14ac:dyDescent="0.25">
      <c r="A32" s="19"/>
      <c r="B32" s="19"/>
      <c r="C32" s="375" t="s">
        <v>159</v>
      </c>
      <c r="D32" s="376">
        <v>44926</v>
      </c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U32" s="10"/>
    </row>
    <row r="33" spans="3:3" x14ac:dyDescent="0.25">
      <c r="C33" t="s">
        <v>164</v>
      </c>
    </row>
  </sheetData>
  <mergeCells count="6">
    <mergeCell ref="A1:U1"/>
    <mergeCell ref="A2:D2"/>
    <mergeCell ref="E2:H2"/>
    <mergeCell ref="I2:L2"/>
    <mergeCell ref="M2:P2"/>
    <mergeCell ref="Q2:T2"/>
  </mergeCells>
  <pageMargins left="0.7" right="0.7" top="0.75" bottom="0.75" header="0.3" footer="0.3"/>
  <pageSetup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C8797-A911-4B90-BE37-12F3EEB8BF31}">
  <dimension ref="A1:Y33"/>
  <sheetViews>
    <sheetView zoomScale="80" zoomScaleNormal="80" workbookViewId="0">
      <selection activeCell="V30" sqref="V30"/>
    </sheetView>
  </sheetViews>
  <sheetFormatPr defaultRowHeight="15" x14ac:dyDescent="0.25"/>
  <cols>
    <col min="1" max="1" width="1.85546875" customWidth="1"/>
    <col min="2" max="2" width="2.7109375" customWidth="1"/>
    <col min="4" max="4" width="9.7109375" bestFit="1" customWidth="1"/>
    <col min="5" max="5" width="11" bestFit="1" customWidth="1"/>
    <col min="9" max="9" width="13.7109375" bestFit="1" customWidth="1"/>
    <col min="10" max="12" width="9.85546875" bestFit="1" customWidth="1"/>
    <col min="13" max="13" width="11.7109375" bestFit="1" customWidth="1"/>
    <col min="17" max="17" width="9.85546875" bestFit="1" customWidth="1"/>
    <col min="18" max="18" width="12.5703125" bestFit="1" customWidth="1"/>
    <col min="19" max="20" width="9.85546875" bestFit="1" customWidth="1"/>
    <col min="22" max="22" width="11.42578125" customWidth="1"/>
    <col min="23" max="23" width="12.28515625" customWidth="1"/>
    <col min="24" max="24" width="12.140625" customWidth="1"/>
    <col min="25" max="25" width="11" customWidth="1"/>
  </cols>
  <sheetData>
    <row r="1" spans="1:25" ht="15.75" thickBot="1" x14ac:dyDescent="0.3">
      <c r="A1" s="395" t="s">
        <v>118</v>
      </c>
      <c r="B1" s="395"/>
      <c r="C1" s="395"/>
      <c r="D1" s="395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396"/>
      <c r="R1" s="396"/>
      <c r="S1" s="396"/>
      <c r="T1" s="396"/>
      <c r="U1" s="396"/>
      <c r="V1" s="347"/>
      <c r="W1" s="347"/>
      <c r="X1" s="347"/>
      <c r="Y1" s="347"/>
    </row>
    <row r="2" spans="1:25" ht="15.75" thickTop="1" x14ac:dyDescent="0.25">
      <c r="A2" s="414" t="s">
        <v>30</v>
      </c>
      <c r="B2" s="414"/>
      <c r="C2" s="414"/>
      <c r="D2" s="415"/>
      <c r="E2" s="416" t="s">
        <v>73</v>
      </c>
      <c r="F2" s="417"/>
      <c r="G2" s="417"/>
      <c r="H2" s="418"/>
      <c r="I2" s="416" t="s">
        <v>74</v>
      </c>
      <c r="J2" s="417"/>
      <c r="K2" s="417"/>
      <c r="L2" s="418"/>
      <c r="M2" s="416" t="s">
        <v>34</v>
      </c>
      <c r="N2" s="417"/>
      <c r="O2" s="417"/>
      <c r="P2" s="418"/>
      <c r="Q2" s="416" t="s">
        <v>35</v>
      </c>
      <c r="R2" s="417"/>
      <c r="S2" s="417"/>
      <c r="T2" s="417"/>
      <c r="U2" s="112"/>
      <c r="V2" s="358"/>
      <c r="W2" s="358"/>
      <c r="X2" s="358"/>
      <c r="Y2" s="358"/>
    </row>
    <row r="3" spans="1:25" ht="60" x14ac:dyDescent="0.25">
      <c r="A3" s="77" t="s">
        <v>46</v>
      </c>
      <c r="B3" s="77" t="s">
        <v>47</v>
      </c>
      <c r="C3" s="77" t="s">
        <v>39</v>
      </c>
      <c r="D3" s="82" t="s">
        <v>40</v>
      </c>
      <c r="E3" s="134" t="s">
        <v>75</v>
      </c>
      <c r="F3" s="77" t="s">
        <v>93</v>
      </c>
      <c r="G3" s="77" t="s">
        <v>94</v>
      </c>
      <c r="H3" s="135" t="s">
        <v>95</v>
      </c>
      <c r="I3" s="137" t="s">
        <v>75</v>
      </c>
      <c r="J3" s="116" t="s">
        <v>93</v>
      </c>
      <c r="K3" s="116" t="s">
        <v>94</v>
      </c>
      <c r="L3" s="138" t="s">
        <v>95</v>
      </c>
      <c r="M3" s="137" t="s">
        <v>75</v>
      </c>
      <c r="N3" s="116" t="s">
        <v>93</v>
      </c>
      <c r="O3" s="116" t="s">
        <v>94</v>
      </c>
      <c r="P3" s="138" t="s">
        <v>95</v>
      </c>
      <c r="Q3" s="137" t="s">
        <v>75</v>
      </c>
      <c r="R3" s="116" t="s">
        <v>93</v>
      </c>
      <c r="S3" s="116" t="s">
        <v>94</v>
      </c>
      <c r="T3" s="116" t="s">
        <v>95</v>
      </c>
      <c r="U3" s="140" t="s">
        <v>96</v>
      </c>
      <c r="V3" s="359" t="s">
        <v>143</v>
      </c>
      <c r="W3" s="360" t="s">
        <v>144</v>
      </c>
      <c r="X3" s="359" t="s">
        <v>145</v>
      </c>
      <c r="Y3" s="360" t="s">
        <v>146</v>
      </c>
    </row>
    <row r="4" spans="1:25" x14ac:dyDescent="0.25">
      <c r="A4" s="65">
        <v>1</v>
      </c>
      <c r="B4" s="65">
        <v>1</v>
      </c>
      <c r="C4" s="67">
        <v>42644</v>
      </c>
      <c r="D4" s="68">
        <v>42735</v>
      </c>
      <c r="E4" s="136">
        <v>8333.3333333333339</v>
      </c>
      <c r="F4" s="2">
        <f>SUM(0+ E4)</f>
        <v>8333.3333333333339</v>
      </c>
      <c r="G4" s="2">
        <v>0</v>
      </c>
      <c r="H4" s="45">
        <f>SUM(0+ G4)</f>
        <v>0</v>
      </c>
      <c r="I4" s="139">
        <v>193982.41666666666</v>
      </c>
      <c r="J4" s="2">
        <f>SUM(0+ I4)</f>
        <v>193982.41666666666</v>
      </c>
      <c r="K4" s="3">
        <v>0</v>
      </c>
      <c r="L4" s="45">
        <f>SUM(0+ K4)</f>
        <v>0</v>
      </c>
      <c r="M4" s="139">
        <v>4240.375</v>
      </c>
      <c r="N4" s="3">
        <f>SUM(0+ M4)</f>
        <v>4240.375</v>
      </c>
      <c r="O4" s="2">
        <v>0</v>
      </c>
      <c r="P4" s="53">
        <f>SUM(0+ O4)</f>
        <v>0</v>
      </c>
      <c r="Q4" s="139">
        <v>207082.5</v>
      </c>
      <c r="R4" s="3">
        <f>SUM(0+Q4)</f>
        <v>207082.5</v>
      </c>
      <c r="S4" s="3">
        <f>SUM(G4+K4+O4)</f>
        <v>0</v>
      </c>
      <c r="T4" s="3">
        <f>SUM(0+ S4)</f>
        <v>0</v>
      </c>
      <c r="U4" s="60">
        <f>SUM(T4/R4)*100</f>
        <v>0</v>
      </c>
      <c r="V4" s="344">
        <v>0</v>
      </c>
      <c r="W4" s="342">
        <v>0</v>
      </c>
      <c r="X4" s="344">
        <v>0</v>
      </c>
      <c r="Y4" s="342">
        <v>0</v>
      </c>
    </row>
    <row r="5" spans="1:25" x14ac:dyDescent="0.25">
      <c r="A5" s="65">
        <v>1</v>
      </c>
      <c r="B5" s="65">
        <v>2</v>
      </c>
      <c r="C5" s="67">
        <v>42736</v>
      </c>
      <c r="D5" s="68">
        <v>42825</v>
      </c>
      <c r="E5" s="136">
        <v>8333.3333333333339</v>
      </c>
      <c r="F5" s="2">
        <f t="shared" ref="F5:F23" si="0">SUM(F4+E5)</f>
        <v>16666.666666666668</v>
      </c>
      <c r="G5" s="2">
        <v>0</v>
      </c>
      <c r="H5" s="45">
        <f t="shared" ref="H5:H23" si="1">SUM(H4+G5)</f>
        <v>0</v>
      </c>
      <c r="I5" s="139">
        <v>193982.41666666666</v>
      </c>
      <c r="J5" s="2">
        <f t="shared" ref="J5:J23" si="2">SUM(J4+I5)</f>
        <v>387964.83333333331</v>
      </c>
      <c r="K5" s="3">
        <v>0</v>
      </c>
      <c r="L5" s="45">
        <f t="shared" ref="L5:L23" si="3">SUM(L4+K5)</f>
        <v>0</v>
      </c>
      <c r="M5" s="139">
        <v>4240.375</v>
      </c>
      <c r="N5" s="3">
        <f t="shared" ref="N5:N23" si="4">SUM(N4+M5)</f>
        <v>8480.75</v>
      </c>
      <c r="O5" s="3">
        <v>0</v>
      </c>
      <c r="P5" s="53">
        <f t="shared" ref="P5:P23" si="5">SUM(P4+O5)</f>
        <v>0</v>
      </c>
      <c r="Q5" s="139">
        <v>207082.5</v>
      </c>
      <c r="R5" s="3">
        <f>SUM(R4+Q5)</f>
        <v>414165</v>
      </c>
      <c r="S5" s="3">
        <f t="shared" ref="S5:S26" si="6">SUM(G5+K5+O5)</f>
        <v>0</v>
      </c>
      <c r="T5" s="3">
        <f t="shared" ref="T5:T26" si="7">SUM(T4+S5)</f>
        <v>0</v>
      </c>
      <c r="U5" s="60">
        <f>SUM(T5/R5)*100</f>
        <v>0</v>
      </c>
      <c r="V5" s="344">
        <v>0</v>
      </c>
      <c r="W5" s="342">
        <v>0</v>
      </c>
      <c r="X5" s="344">
        <v>0</v>
      </c>
      <c r="Y5" s="342">
        <v>0</v>
      </c>
    </row>
    <row r="6" spans="1:25" x14ac:dyDescent="0.25">
      <c r="A6" s="65">
        <v>1</v>
      </c>
      <c r="B6" s="65">
        <v>3</v>
      </c>
      <c r="C6" s="67">
        <v>42826</v>
      </c>
      <c r="D6" s="68">
        <v>42916</v>
      </c>
      <c r="E6" s="136">
        <v>8333.3333333333339</v>
      </c>
      <c r="F6" s="2">
        <f t="shared" si="0"/>
        <v>25000</v>
      </c>
      <c r="G6" s="2">
        <v>0</v>
      </c>
      <c r="H6" s="45">
        <f t="shared" si="1"/>
        <v>0</v>
      </c>
      <c r="I6" s="139">
        <v>193982.41666666666</v>
      </c>
      <c r="J6" s="2">
        <f t="shared" si="2"/>
        <v>581947.25</v>
      </c>
      <c r="K6" s="3">
        <v>0</v>
      </c>
      <c r="L6" s="45">
        <f t="shared" si="3"/>
        <v>0</v>
      </c>
      <c r="M6" s="139">
        <v>4240.375</v>
      </c>
      <c r="N6" s="3">
        <f t="shared" si="4"/>
        <v>12721.125</v>
      </c>
      <c r="O6" s="3">
        <v>0</v>
      </c>
      <c r="P6" s="53">
        <f t="shared" si="5"/>
        <v>0</v>
      </c>
      <c r="Q6" s="139">
        <v>207082.5</v>
      </c>
      <c r="R6" s="3">
        <f t="shared" ref="R6:R26" si="8">SUM(R5+Q6)</f>
        <v>621247.5</v>
      </c>
      <c r="S6" s="3">
        <f t="shared" si="6"/>
        <v>0</v>
      </c>
      <c r="T6" s="3">
        <f t="shared" si="7"/>
        <v>0</v>
      </c>
      <c r="U6" s="60">
        <f t="shared" ref="U6:U26" si="9">SUM(T6/R6)*100</f>
        <v>0</v>
      </c>
      <c r="V6" s="351">
        <v>0</v>
      </c>
      <c r="W6" s="342">
        <v>0</v>
      </c>
      <c r="X6" s="344">
        <v>0</v>
      </c>
      <c r="Y6" s="342">
        <v>0</v>
      </c>
    </row>
    <row r="7" spans="1:25" x14ac:dyDescent="0.25">
      <c r="A7" s="65">
        <v>1</v>
      </c>
      <c r="B7" s="65">
        <v>4</v>
      </c>
      <c r="C7" s="67">
        <v>42917</v>
      </c>
      <c r="D7" s="68">
        <v>43008</v>
      </c>
      <c r="E7" s="136">
        <v>8333.3333333333339</v>
      </c>
      <c r="F7" s="2">
        <f t="shared" si="0"/>
        <v>33333.333333333336</v>
      </c>
      <c r="G7" s="2">
        <v>96</v>
      </c>
      <c r="H7" s="45">
        <f t="shared" si="1"/>
        <v>96</v>
      </c>
      <c r="I7" s="139">
        <v>193982.41666666666</v>
      </c>
      <c r="J7" s="2">
        <f t="shared" si="2"/>
        <v>775929.66666666663</v>
      </c>
      <c r="K7" s="3">
        <v>0</v>
      </c>
      <c r="L7" s="45">
        <f t="shared" si="3"/>
        <v>0</v>
      </c>
      <c r="M7" s="139">
        <v>4240.375</v>
      </c>
      <c r="N7" s="3">
        <f t="shared" si="4"/>
        <v>16961.5</v>
      </c>
      <c r="O7" s="3">
        <v>0</v>
      </c>
      <c r="P7" s="53">
        <f t="shared" si="5"/>
        <v>0</v>
      </c>
      <c r="Q7" s="139">
        <v>207082.5</v>
      </c>
      <c r="R7" s="3">
        <f t="shared" si="8"/>
        <v>828330</v>
      </c>
      <c r="S7" s="3">
        <f t="shared" si="6"/>
        <v>96</v>
      </c>
      <c r="T7" s="3">
        <f t="shared" si="7"/>
        <v>96</v>
      </c>
      <c r="U7" s="60">
        <f>SUM(T7/R7)*100</f>
        <v>1.1589583861504472E-2</v>
      </c>
      <c r="V7" s="351">
        <v>4.2857142857142856</v>
      </c>
      <c r="W7" s="342">
        <v>0</v>
      </c>
      <c r="X7" s="344">
        <v>0</v>
      </c>
      <c r="Y7" s="342">
        <v>0</v>
      </c>
    </row>
    <row r="8" spans="1:25" x14ac:dyDescent="0.25">
      <c r="A8" s="65">
        <v>2</v>
      </c>
      <c r="B8" s="65">
        <v>1</v>
      </c>
      <c r="C8" s="67">
        <v>43009</v>
      </c>
      <c r="D8" s="68">
        <v>43100</v>
      </c>
      <c r="E8" s="136">
        <v>8333.3333333333339</v>
      </c>
      <c r="F8" s="2">
        <f t="shared" si="0"/>
        <v>41666.666666666672</v>
      </c>
      <c r="G8" s="2">
        <v>0</v>
      </c>
      <c r="H8" s="45">
        <f t="shared" si="1"/>
        <v>96</v>
      </c>
      <c r="I8" s="139">
        <v>193982.41666666666</v>
      </c>
      <c r="J8" s="2">
        <f t="shared" si="2"/>
        <v>969912.08333333326</v>
      </c>
      <c r="K8" s="3">
        <v>122333</v>
      </c>
      <c r="L8" s="45">
        <f t="shared" si="3"/>
        <v>122333</v>
      </c>
      <c r="M8" s="139">
        <v>4240.375</v>
      </c>
      <c r="N8" s="3">
        <f t="shared" si="4"/>
        <v>21201.875</v>
      </c>
      <c r="O8" s="3">
        <v>6811</v>
      </c>
      <c r="P8" s="53">
        <f t="shared" si="5"/>
        <v>6811</v>
      </c>
      <c r="Q8" s="139">
        <v>207082.5</v>
      </c>
      <c r="R8" s="3">
        <f t="shared" si="8"/>
        <v>1035412.5</v>
      </c>
      <c r="S8" s="3">
        <f t="shared" si="6"/>
        <v>129144</v>
      </c>
      <c r="T8" s="3">
        <f t="shared" si="7"/>
        <v>129240</v>
      </c>
      <c r="U8" s="60">
        <f t="shared" si="9"/>
        <v>12.481981818840318</v>
      </c>
      <c r="V8" s="351">
        <v>4.2857142857142856</v>
      </c>
      <c r="W8" s="342">
        <v>0</v>
      </c>
      <c r="X8" s="344">
        <v>0</v>
      </c>
      <c r="Y8" s="342">
        <v>0</v>
      </c>
    </row>
    <row r="9" spans="1:25" x14ac:dyDescent="0.25">
      <c r="A9" s="65">
        <v>2</v>
      </c>
      <c r="B9" s="65">
        <v>2</v>
      </c>
      <c r="C9" s="67">
        <v>43101</v>
      </c>
      <c r="D9" s="68">
        <v>43190</v>
      </c>
      <c r="E9" s="136">
        <v>8333.3333333333339</v>
      </c>
      <c r="F9" s="2">
        <f t="shared" si="0"/>
        <v>50000.000000000007</v>
      </c>
      <c r="G9" s="2">
        <v>0</v>
      </c>
      <c r="H9" s="45">
        <f t="shared" si="1"/>
        <v>96</v>
      </c>
      <c r="I9" s="139">
        <v>193982.41666666666</v>
      </c>
      <c r="J9" s="2">
        <f t="shared" si="2"/>
        <v>1163894.5</v>
      </c>
      <c r="K9" s="3">
        <v>64872</v>
      </c>
      <c r="L9" s="45">
        <f t="shared" si="3"/>
        <v>187205</v>
      </c>
      <c r="M9" s="139">
        <v>4240.375</v>
      </c>
      <c r="N9" s="3">
        <f t="shared" si="4"/>
        <v>25442.25</v>
      </c>
      <c r="O9" s="3">
        <v>0</v>
      </c>
      <c r="P9" s="53">
        <f t="shared" si="5"/>
        <v>6811</v>
      </c>
      <c r="Q9" s="139">
        <v>207082.5</v>
      </c>
      <c r="R9" s="3">
        <f t="shared" si="8"/>
        <v>1242495</v>
      </c>
      <c r="S9" s="3">
        <f t="shared" si="6"/>
        <v>64872</v>
      </c>
      <c r="T9" s="3">
        <f>SUM(T8+S9)</f>
        <v>194112</v>
      </c>
      <c r="U9" s="60">
        <f t="shared" si="9"/>
        <v>15.62275904530803</v>
      </c>
      <c r="V9" s="351">
        <v>4.2857142857142856</v>
      </c>
      <c r="W9" s="342">
        <v>0</v>
      </c>
      <c r="X9" s="344">
        <v>0</v>
      </c>
      <c r="Y9" s="342">
        <v>0</v>
      </c>
    </row>
    <row r="10" spans="1:25" x14ac:dyDescent="0.25">
      <c r="A10" s="65">
        <v>2</v>
      </c>
      <c r="B10" s="65">
        <v>3</v>
      </c>
      <c r="C10" s="67">
        <v>43191</v>
      </c>
      <c r="D10" s="68">
        <v>43281</v>
      </c>
      <c r="E10" s="136">
        <v>8333.3333333333339</v>
      </c>
      <c r="F10" s="2">
        <f t="shared" si="0"/>
        <v>58333.333333333343</v>
      </c>
      <c r="G10" s="2">
        <v>31677</v>
      </c>
      <c r="H10" s="45">
        <f t="shared" si="1"/>
        <v>31773</v>
      </c>
      <c r="I10" s="139">
        <v>193982.41666666666</v>
      </c>
      <c r="J10" s="2">
        <f t="shared" si="2"/>
        <v>1357876.9166666667</v>
      </c>
      <c r="K10" s="3">
        <v>33261</v>
      </c>
      <c r="L10" s="45">
        <f t="shared" si="3"/>
        <v>220466</v>
      </c>
      <c r="M10" s="139">
        <v>4240.375</v>
      </c>
      <c r="N10" s="3">
        <f t="shared" si="4"/>
        <v>29682.625</v>
      </c>
      <c r="O10" s="3">
        <v>8290</v>
      </c>
      <c r="P10" s="53">
        <f t="shared" si="5"/>
        <v>15101</v>
      </c>
      <c r="Q10" s="139">
        <v>207082.5</v>
      </c>
      <c r="R10" s="3">
        <f>SUM(R9+Q10)</f>
        <v>1449577.5</v>
      </c>
      <c r="S10" s="3">
        <f t="shared" si="6"/>
        <v>73228</v>
      </c>
      <c r="T10" s="3">
        <f t="shared" si="7"/>
        <v>267340</v>
      </c>
      <c r="U10" s="60">
        <f t="shared" si="9"/>
        <v>18.442615175801226</v>
      </c>
      <c r="V10" s="351">
        <v>4.2857142857142856</v>
      </c>
      <c r="W10" s="342">
        <v>0</v>
      </c>
      <c r="X10" s="344">
        <v>0</v>
      </c>
      <c r="Y10" s="342">
        <v>0</v>
      </c>
    </row>
    <row r="11" spans="1:25" x14ac:dyDescent="0.25">
      <c r="A11" s="65">
        <v>2</v>
      </c>
      <c r="B11" s="65">
        <v>4</v>
      </c>
      <c r="C11" s="67">
        <v>43282</v>
      </c>
      <c r="D11" s="68">
        <v>43373</v>
      </c>
      <c r="E11" s="136">
        <v>8333.3333333333339</v>
      </c>
      <c r="F11" s="2">
        <f t="shared" si="0"/>
        <v>66666.666666666672</v>
      </c>
      <c r="G11" s="2">
        <v>22543</v>
      </c>
      <c r="H11" s="45">
        <f t="shared" si="1"/>
        <v>54316</v>
      </c>
      <c r="I11" s="139">
        <v>193982.41666666666</v>
      </c>
      <c r="J11" s="2">
        <f t="shared" si="2"/>
        <v>1551859.3333333335</v>
      </c>
      <c r="K11" s="3">
        <v>46551</v>
      </c>
      <c r="L11" s="45">
        <f t="shared" si="3"/>
        <v>267017</v>
      </c>
      <c r="M11" s="139">
        <v>4240.375</v>
      </c>
      <c r="N11" s="3">
        <f t="shared" si="4"/>
        <v>33923</v>
      </c>
      <c r="O11" s="3">
        <v>0</v>
      </c>
      <c r="P11" s="53">
        <f t="shared" si="5"/>
        <v>15101</v>
      </c>
      <c r="Q11" s="139">
        <v>207082.5</v>
      </c>
      <c r="R11" s="3">
        <f>SUM(R10+Q11)</f>
        <v>1656660</v>
      </c>
      <c r="S11" s="3">
        <f t="shared" si="6"/>
        <v>69094</v>
      </c>
      <c r="T11" s="3">
        <f t="shared" si="7"/>
        <v>336434</v>
      </c>
      <c r="U11" s="60">
        <f t="shared" si="9"/>
        <v>20.307969046153104</v>
      </c>
      <c r="V11" s="351">
        <v>4.2857142857142856</v>
      </c>
      <c r="W11" s="342">
        <v>0</v>
      </c>
      <c r="X11" s="344">
        <v>0</v>
      </c>
      <c r="Y11" s="342">
        <v>0</v>
      </c>
    </row>
    <row r="12" spans="1:25" x14ac:dyDescent="0.25">
      <c r="A12" s="65">
        <v>3</v>
      </c>
      <c r="B12" s="65">
        <v>1</v>
      </c>
      <c r="C12" s="67">
        <v>43374</v>
      </c>
      <c r="D12" s="68">
        <v>43465</v>
      </c>
      <c r="E12" s="136">
        <v>8333.3333333333339</v>
      </c>
      <c r="F12" s="2">
        <f t="shared" si="0"/>
        <v>75000</v>
      </c>
      <c r="G12" s="2">
        <v>71520</v>
      </c>
      <c r="H12" s="45">
        <f t="shared" si="1"/>
        <v>125836</v>
      </c>
      <c r="I12" s="139">
        <v>193982.41666666666</v>
      </c>
      <c r="J12" s="2">
        <f t="shared" si="2"/>
        <v>1745841.7500000002</v>
      </c>
      <c r="K12" s="3">
        <v>53667</v>
      </c>
      <c r="L12" s="45">
        <f t="shared" si="3"/>
        <v>320684</v>
      </c>
      <c r="M12" s="139">
        <v>4240.375</v>
      </c>
      <c r="N12" s="3">
        <f t="shared" si="4"/>
        <v>38163.375</v>
      </c>
      <c r="O12" s="3">
        <v>4347</v>
      </c>
      <c r="P12" s="53">
        <f t="shared" si="5"/>
        <v>19448</v>
      </c>
      <c r="Q12" s="139">
        <v>207082.5</v>
      </c>
      <c r="R12" s="3">
        <f t="shared" si="8"/>
        <v>1863742.5</v>
      </c>
      <c r="S12" s="3">
        <f t="shared" si="6"/>
        <v>129534</v>
      </c>
      <c r="T12" s="3">
        <f t="shared" si="7"/>
        <v>465968</v>
      </c>
      <c r="U12" s="60">
        <f t="shared" si="9"/>
        <v>25.001737096192205</v>
      </c>
      <c r="V12" s="351">
        <v>4.2857142857142856</v>
      </c>
      <c r="W12" s="342">
        <v>0</v>
      </c>
      <c r="X12" s="344">
        <v>0</v>
      </c>
      <c r="Y12" s="342">
        <v>0</v>
      </c>
    </row>
    <row r="13" spans="1:25" x14ac:dyDescent="0.25">
      <c r="A13" s="65">
        <v>3</v>
      </c>
      <c r="B13" s="65">
        <v>2</v>
      </c>
      <c r="C13" s="67">
        <v>43466</v>
      </c>
      <c r="D13" s="68">
        <v>43555</v>
      </c>
      <c r="E13" s="136">
        <v>8333.3333333333339</v>
      </c>
      <c r="F13" s="2">
        <f t="shared" si="0"/>
        <v>83333.333333333328</v>
      </c>
      <c r="G13" s="2">
        <v>30554</v>
      </c>
      <c r="H13" s="45">
        <f t="shared" si="1"/>
        <v>156390</v>
      </c>
      <c r="I13" s="139">
        <v>193982.41666666666</v>
      </c>
      <c r="J13" s="2">
        <f t="shared" si="2"/>
        <v>1939824.166666667</v>
      </c>
      <c r="K13" s="3">
        <v>40865</v>
      </c>
      <c r="L13" s="45">
        <f t="shared" si="3"/>
        <v>361549</v>
      </c>
      <c r="M13" s="139">
        <v>4240.375</v>
      </c>
      <c r="N13" s="3">
        <f t="shared" si="4"/>
        <v>42403.75</v>
      </c>
      <c r="O13" s="3">
        <v>2723</v>
      </c>
      <c r="P13" s="53">
        <f t="shared" si="5"/>
        <v>22171</v>
      </c>
      <c r="Q13" s="139">
        <v>207082.5</v>
      </c>
      <c r="R13" s="3">
        <f t="shared" si="8"/>
        <v>2070825</v>
      </c>
      <c r="S13" s="3">
        <f t="shared" si="6"/>
        <v>74142</v>
      </c>
      <c r="T13" s="3">
        <f t="shared" si="7"/>
        <v>540110</v>
      </c>
      <c r="U13" s="60">
        <f t="shared" si="9"/>
        <v>26.08187558098825</v>
      </c>
      <c r="V13" s="351">
        <v>4.2857142857142856</v>
      </c>
      <c r="W13" s="342">
        <v>0</v>
      </c>
      <c r="X13" s="344">
        <v>0</v>
      </c>
      <c r="Y13" s="342">
        <v>0</v>
      </c>
    </row>
    <row r="14" spans="1:25" x14ac:dyDescent="0.25">
      <c r="A14" s="65">
        <v>3</v>
      </c>
      <c r="B14" s="65">
        <v>3</v>
      </c>
      <c r="C14" s="67">
        <v>43556</v>
      </c>
      <c r="D14" s="68">
        <v>43646</v>
      </c>
      <c r="E14" s="136">
        <v>8333.3333333333339</v>
      </c>
      <c r="F14" s="2">
        <f t="shared" si="0"/>
        <v>91666.666666666657</v>
      </c>
      <c r="G14" s="2">
        <v>39195</v>
      </c>
      <c r="H14" s="45">
        <f t="shared" si="1"/>
        <v>195585</v>
      </c>
      <c r="I14" s="139">
        <v>193982.41666666666</v>
      </c>
      <c r="J14" s="2">
        <f t="shared" si="2"/>
        <v>2133806.5833333335</v>
      </c>
      <c r="K14" s="3">
        <v>148272</v>
      </c>
      <c r="L14" s="45">
        <f t="shared" si="3"/>
        <v>509821</v>
      </c>
      <c r="M14" s="139">
        <v>4240.375</v>
      </c>
      <c r="N14" s="3">
        <f t="shared" si="4"/>
        <v>46644.125</v>
      </c>
      <c r="O14" s="3">
        <v>0</v>
      </c>
      <c r="P14" s="53">
        <f t="shared" si="5"/>
        <v>22171</v>
      </c>
      <c r="Q14" s="139">
        <v>207082.5</v>
      </c>
      <c r="R14" s="3">
        <f t="shared" si="8"/>
        <v>2277907.5</v>
      </c>
      <c r="S14" s="3">
        <f t="shared" si="6"/>
        <v>187467</v>
      </c>
      <c r="T14" s="3">
        <f t="shared" si="7"/>
        <v>727577</v>
      </c>
      <c r="U14" s="60">
        <f>SUM(T14/R14)*100</f>
        <v>31.940585822734242</v>
      </c>
      <c r="V14" s="351">
        <v>4.2857142857142856</v>
      </c>
      <c r="W14" s="342">
        <v>0</v>
      </c>
      <c r="X14" s="344">
        <v>0</v>
      </c>
      <c r="Y14" s="342">
        <v>0</v>
      </c>
    </row>
    <row r="15" spans="1:25" x14ac:dyDescent="0.25">
      <c r="A15" s="65">
        <v>3</v>
      </c>
      <c r="B15" s="65">
        <v>4</v>
      </c>
      <c r="C15" s="67">
        <v>43653</v>
      </c>
      <c r="D15" s="68">
        <v>43738</v>
      </c>
      <c r="E15" s="136">
        <v>8333.3333333333339</v>
      </c>
      <c r="F15" s="2">
        <f t="shared" si="0"/>
        <v>99999.999999999985</v>
      </c>
      <c r="G15" s="2">
        <v>4340</v>
      </c>
      <c r="H15" s="45">
        <f>SUM(H14+G15)</f>
        <v>199925</v>
      </c>
      <c r="I15" s="139">
        <v>193982.41666666666</v>
      </c>
      <c r="J15" s="2">
        <f t="shared" si="2"/>
        <v>2327789</v>
      </c>
      <c r="K15" s="3">
        <v>84228</v>
      </c>
      <c r="L15" s="45">
        <f t="shared" si="3"/>
        <v>594049</v>
      </c>
      <c r="M15" s="139">
        <v>4240.375</v>
      </c>
      <c r="N15" s="3">
        <f t="shared" si="4"/>
        <v>50884.5</v>
      </c>
      <c r="O15" s="3">
        <v>0</v>
      </c>
      <c r="P15" s="53">
        <f t="shared" si="5"/>
        <v>22171</v>
      </c>
      <c r="Q15" s="139">
        <v>207082.5</v>
      </c>
      <c r="R15" s="3">
        <f t="shared" si="8"/>
        <v>2484990</v>
      </c>
      <c r="S15" s="3">
        <f t="shared" si="6"/>
        <v>88568</v>
      </c>
      <c r="T15" s="3">
        <f>SUM(T14+S15)</f>
        <v>816145</v>
      </c>
      <c r="U15" s="60">
        <f t="shared" si="9"/>
        <v>32.842989307804054</v>
      </c>
      <c r="V15" s="351">
        <v>4.2857142857142856</v>
      </c>
      <c r="W15" s="342">
        <v>0</v>
      </c>
      <c r="X15" s="344">
        <v>0</v>
      </c>
      <c r="Y15" s="342">
        <v>1</v>
      </c>
    </row>
    <row r="16" spans="1:25" x14ac:dyDescent="0.25">
      <c r="A16" s="65">
        <v>4</v>
      </c>
      <c r="B16" s="65">
        <v>1</v>
      </c>
      <c r="C16" s="67">
        <v>43739</v>
      </c>
      <c r="D16" s="68">
        <v>43830</v>
      </c>
      <c r="E16" s="136">
        <v>8333.3333333333339</v>
      </c>
      <c r="F16" s="2">
        <f t="shared" si="0"/>
        <v>108333.33333333331</v>
      </c>
      <c r="G16" s="2">
        <v>75</v>
      </c>
      <c r="H16" s="45">
        <f t="shared" si="1"/>
        <v>200000</v>
      </c>
      <c r="I16" s="139">
        <v>193982.41666666666</v>
      </c>
      <c r="J16" s="2">
        <f t="shared" si="2"/>
        <v>2521771.4166666665</v>
      </c>
      <c r="K16" s="3">
        <v>133416</v>
      </c>
      <c r="L16" s="45">
        <f>SUM(L15+K16)</f>
        <v>727465</v>
      </c>
      <c r="M16" s="139">
        <v>4240.375</v>
      </c>
      <c r="N16" s="3">
        <f t="shared" si="4"/>
        <v>55124.875</v>
      </c>
      <c r="O16" s="3">
        <v>9385</v>
      </c>
      <c r="P16" s="53">
        <f t="shared" si="5"/>
        <v>31556</v>
      </c>
      <c r="Q16" s="139">
        <v>207082.5</v>
      </c>
      <c r="R16" s="3">
        <f t="shared" si="8"/>
        <v>2692072.5</v>
      </c>
      <c r="S16" s="3">
        <f t="shared" si="6"/>
        <v>142876</v>
      </c>
      <c r="T16" s="3">
        <f>SUM(T15+S16)</f>
        <v>959021</v>
      </c>
      <c r="U16" s="60">
        <f t="shared" si="9"/>
        <v>35.623892001422696</v>
      </c>
      <c r="V16" s="351">
        <v>4.2857142857142856</v>
      </c>
      <c r="W16" s="342">
        <v>0</v>
      </c>
      <c r="X16" s="344">
        <v>0</v>
      </c>
      <c r="Y16" s="342">
        <v>0</v>
      </c>
    </row>
    <row r="17" spans="1:25" x14ac:dyDescent="0.25">
      <c r="A17" s="65">
        <v>4</v>
      </c>
      <c r="B17" s="65">
        <v>2</v>
      </c>
      <c r="C17" s="67">
        <v>43831</v>
      </c>
      <c r="D17" s="68">
        <v>43921</v>
      </c>
      <c r="E17" s="136">
        <v>8333.3333333333339</v>
      </c>
      <c r="F17" s="2">
        <f t="shared" si="0"/>
        <v>116666.66666666664</v>
      </c>
      <c r="G17" s="2">
        <v>0</v>
      </c>
      <c r="H17" s="45">
        <f t="shared" si="1"/>
        <v>200000</v>
      </c>
      <c r="I17" s="139">
        <v>193982.41666666666</v>
      </c>
      <c r="J17" s="2">
        <f t="shared" si="2"/>
        <v>2715753.833333333</v>
      </c>
      <c r="K17" s="3">
        <v>206618</v>
      </c>
      <c r="L17" s="45">
        <f t="shared" si="3"/>
        <v>934083</v>
      </c>
      <c r="M17" s="139">
        <v>4240.375</v>
      </c>
      <c r="N17" s="3">
        <f t="shared" si="4"/>
        <v>59365.25</v>
      </c>
      <c r="O17" s="3">
        <v>0</v>
      </c>
      <c r="P17" s="53">
        <f t="shared" si="5"/>
        <v>31556</v>
      </c>
      <c r="Q17" s="139">
        <v>207082.5</v>
      </c>
      <c r="R17" s="3">
        <f t="shared" si="8"/>
        <v>2899155</v>
      </c>
      <c r="S17" s="3">
        <f t="shared" si="6"/>
        <v>206618</v>
      </c>
      <c r="T17" s="3">
        <f t="shared" si="7"/>
        <v>1165639</v>
      </c>
      <c r="U17" s="60">
        <f t="shared" si="9"/>
        <v>40.206163520060159</v>
      </c>
      <c r="V17" s="351">
        <v>4.2857142857142856</v>
      </c>
      <c r="W17" s="342">
        <v>0</v>
      </c>
      <c r="X17" s="344">
        <v>1</v>
      </c>
      <c r="Y17" s="342">
        <v>0</v>
      </c>
    </row>
    <row r="18" spans="1:25" x14ac:dyDescent="0.25">
      <c r="A18" s="65">
        <v>4</v>
      </c>
      <c r="B18" s="65">
        <v>3</v>
      </c>
      <c r="C18" s="67">
        <v>43922</v>
      </c>
      <c r="D18" s="68">
        <v>44012</v>
      </c>
      <c r="E18" s="136">
        <v>8333.3333333333339</v>
      </c>
      <c r="F18" s="2">
        <f t="shared" si="0"/>
        <v>124999.99999999997</v>
      </c>
      <c r="G18" s="2">
        <v>0</v>
      </c>
      <c r="H18" s="45">
        <f t="shared" si="1"/>
        <v>200000</v>
      </c>
      <c r="I18" s="139">
        <v>193982.41666666666</v>
      </c>
      <c r="J18" s="2">
        <f t="shared" si="2"/>
        <v>2909736.2499999995</v>
      </c>
      <c r="K18" s="3">
        <v>232331</v>
      </c>
      <c r="L18" s="45">
        <f t="shared" si="3"/>
        <v>1166414</v>
      </c>
      <c r="M18" s="139">
        <v>4240.375</v>
      </c>
      <c r="N18" s="3">
        <f t="shared" si="4"/>
        <v>63605.625</v>
      </c>
      <c r="O18" s="3">
        <v>5661</v>
      </c>
      <c r="P18" s="53">
        <f t="shared" si="5"/>
        <v>37217</v>
      </c>
      <c r="Q18" s="139">
        <v>207082.5</v>
      </c>
      <c r="R18" s="3">
        <f t="shared" si="8"/>
        <v>3106237.5</v>
      </c>
      <c r="S18" s="3">
        <f t="shared" si="6"/>
        <v>237992</v>
      </c>
      <c r="T18" s="3">
        <f t="shared" si="7"/>
        <v>1403631</v>
      </c>
      <c r="U18" s="60">
        <f t="shared" si="9"/>
        <v>45.187497736409405</v>
      </c>
      <c r="V18" s="351">
        <v>4.2857142857142856</v>
      </c>
      <c r="W18" s="342">
        <v>0</v>
      </c>
      <c r="X18" s="344">
        <v>0</v>
      </c>
      <c r="Y18" s="342">
        <v>0</v>
      </c>
    </row>
    <row r="19" spans="1:25" x14ac:dyDescent="0.25">
      <c r="A19" s="65">
        <v>4</v>
      </c>
      <c r="B19" s="65">
        <v>4</v>
      </c>
      <c r="C19" s="67">
        <v>44013</v>
      </c>
      <c r="D19" s="68">
        <v>44104</v>
      </c>
      <c r="E19" s="136">
        <v>8333.3333333333339</v>
      </c>
      <c r="F19" s="2">
        <f t="shared" si="0"/>
        <v>133333.33333333331</v>
      </c>
      <c r="G19" s="2">
        <v>0</v>
      </c>
      <c r="H19" s="45">
        <f t="shared" si="1"/>
        <v>200000</v>
      </c>
      <c r="I19" s="139">
        <v>193982.41666666666</v>
      </c>
      <c r="J19" s="2">
        <f t="shared" si="2"/>
        <v>3103718.666666666</v>
      </c>
      <c r="K19" s="3">
        <v>100906</v>
      </c>
      <c r="L19" s="45">
        <f t="shared" si="3"/>
        <v>1267320</v>
      </c>
      <c r="M19" s="139">
        <v>4240.375</v>
      </c>
      <c r="N19" s="3">
        <f t="shared" si="4"/>
        <v>67846</v>
      </c>
      <c r="O19" s="3">
        <v>0</v>
      </c>
      <c r="P19" s="53">
        <f t="shared" si="5"/>
        <v>37217</v>
      </c>
      <c r="Q19" s="139">
        <v>207082.5</v>
      </c>
      <c r="R19" s="3">
        <f t="shared" si="8"/>
        <v>3313320</v>
      </c>
      <c r="S19" s="3">
        <f t="shared" si="6"/>
        <v>100906</v>
      </c>
      <c r="T19" s="3">
        <f t="shared" si="7"/>
        <v>1504537</v>
      </c>
      <c r="U19" s="60">
        <f t="shared" si="9"/>
        <v>45.408744099573838</v>
      </c>
      <c r="V19" s="351">
        <v>4.2857142857142856</v>
      </c>
      <c r="W19" s="342">
        <v>0</v>
      </c>
      <c r="X19" s="344">
        <v>0</v>
      </c>
      <c r="Y19" s="342">
        <v>0</v>
      </c>
    </row>
    <row r="20" spans="1:25" x14ac:dyDescent="0.25">
      <c r="A20" s="65">
        <v>5</v>
      </c>
      <c r="B20" s="65">
        <v>1</v>
      </c>
      <c r="C20" s="67">
        <v>44105</v>
      </c>
      <c r="D20" s="68">
        <v>44196</v>
      </c>
      <c r="E20" s="136">
        <v>8333.3333333333339</v>
      </c>
      <c r="F20" s="2">
        <f t="shared" si="0"/>
        <v>141666.66666666666</v>
      </c>
      <c r="G20" s="2">
        <v>0</v>
      </c>
      <c r="H20" s="45">
        <f t="shared" si="1"/>
        <v>200000</v>
      </c>
      <c r="I20" s="139">
        <v>193982.41666666666</v>
      </c>
      <c r="J20" s="2">
        <f t="shared" si="2"/>
        <v>3297701.0833333326</v>
      </c>
      <c r="K20" s="3">
        <v>207369</v>
      </c>
      <c r="L20" s="45">
        <f t="shared" si="3"/>
        <v>1474689</v>
      </c>
      <c r="M20" s="139">
        <v>4240.375</v>
      </c>
      <c r="N20" s="3">
        <f t="shared" si="4"/>
        <v>72086.375</v>
      </c>
      <c r="O20" s="3">
        <v>19261</v>
      </c>
      <c r="P20" s="53">
        <f t="shared" si="5"/>
        <v>56478</v>
      </c>
      <c r="Q20" s="139">
        <v>207082.5</v>
      </c>
      <c r="R20" s="3">
        <f t="shared" si="8"/>
        <v>3520402.5</v>
      </c>
      <c r="S20" s="3">
        <f t="shared" si="6"/>
        <v>226630</v>
      </c>
      <c r="T20" s="3">
        <f t="shared" si="7"/>
        <v>1731167</v>
      </c>
      <c r="U20" s="60">
        <f t="shared" si="9"/>
        <v>49.175257658747832</v>
      </c>
      <c r="V20" s="351">
        <v>4.2857142857142856</v>
      </c>
      <c r="W20" s="342">
        <v>0</v>
      </c>
      <c r="X20" s="344">
        <v>0</v>
      </c>
      <c r="Y20" s="342">
        <v>0</v>
      </c>
    </row>
    <row r="21" spans="1:25" x14ac:dyDescent="0.25">
      <c r="A21" s="65">
        <v>5</v>
      </c>
      <c r="B21" s="65">
        <v>2</v>
      </c>
      <c r="C21" s="67">
        <v>44197</v>
      </c>
      <c r="D21" s="68">
        <v>44286</v>
      </c>
      <c r="E21" s="136">
        <v>8333.3333333333339</v>
      </c>
      <c r="F21" s="2">
        <f t="shared" si="0"/>
        <v>150000</v>
      </c>
      <c r="G21" s="2">
        <v>0</v>
      </c>
      <c r="H21" s="45">
        <f t="shared" si="1"/>
        <v>200000</v>
      </c>
      <c r="I21" s="139">
        <v>193982.41666666666</v>
      </c>
      <c r="J21" s="2">
        <f t="shared" si="2"/>
        <v>3491683.4999999991</v>
      </c>
      <c r="K21" s="3">
        <v>1483270</v>
      </c>
      <c r="L21" s="45">
        <f t="shared" si="3"/>
        <v>2957959</v>
      </c>
      <c r="M21" s="139">
        <v>4240.375</v>
      </c>
      <c r="N21" s="3">
        <f t="shared" si="4"/>
        <v>76326.75</v>
      </c>
      <c r="O21" s="3">
        <v>0</v>
      </c>
      <c r="P21" s="53">
        <f t="shared" si="5"/>
        <v>56478</v>
      </c>
      <c r="Q21" s="139">
        <v>207082.5</v>
      </c>
      <c r="R21" s="3">
        <f t="shared" si="8"/>
        <v>3727485</v>
      </c>
      <c r="S21" s="3">
        <f t="shared" si="6"/>
        <v>1483270</v>
      </c>
      <c r="T21" s="3">
        <f t="shared" si="7"/>
        <v>3214437</v>
      </c>
      <c r="U21" s="60">
        <f t="shared" si="9"/>
        <v>86.236081432923271</v>
      </c>
      <c r="V21" s="351">
        <v>4.2857142857142856</v>
      </c>
      <c r="W21" s="342">
        <v>0</v>
      </c>
      <c r="X21" s="344">
        <v>0</v>
      </c>
      <c r="Y21" s="342">
        <v>0</v>
      </c>
    </row>
    <row r="22" spans="1:25" x14ac:dyDescent="0.25">
      <c r="A22" s="65">
        <v>5</v>
      </c>
      <c r="B22" s="65">
        <v>3</v>
      </c>
      <c r="C22" s="67">
        <v>44287</v>
      </c>
      <c r="D22" s="68">
        <v>44377</v>
      </c>
      <c r="E22" s="136">
        <v>8333.3333333333339</v>
      </c>
      <c r="F22" s="2">
        <f t="shared" si="0"/>
        <v>158333.33333333334</v>
      </c>
      <c r="G22" s="2">
        <v>0</v>
      </c>
      <c r="H22" s="45">
        <f t="shared" si="1"/>
        <v>200000</v>
      </c>
      <c r="I22" s="139">
        <v>193982.41666666666</v>
      </c>
      <c r="J22" s="2">
        <f t="shared" si="2"/>
        <v>3685665.9166666656</v>
      </c>
      <c r="K22" s="3">
        <v>146375</v>
      </c>
      <c r="L22" s="45">
        <f t="shared" si="3"/>
        <v>3104334</v>
      </c>
      <c r="M22" s="139">
        <v>4240.375</v>
      </c>
      <c r="N22" s="3">
        <f t="shared" si="4"/>
        <v>80567.125</v>
      </c>
      <c r="O22" s="3">
        <v>9914</v>
      </c>
      <c r="P22" s="53">
        <f t="shared" si="5"/>
        <v>66392</v>
      </c>
      <c r="Q22" s="139">
        <v>207082.5</v>
      </c>
      <c r="R22" s="3">
        <f t="shared" si="8"/>
        <v>3934567.5</v>
      </c>
      <c r="S22" s="3">
        <f t="shared" si="6"/>
        <v>156289</v>
      </c>
      <c r="T22" s="3">
        <f t="shared" si="7"/>
        <v>3370726</v>
      </c>
      <c r="U22" s="60">
        <f t="shared" si="9"/>
        <v>85.669543094634932</v>
      </c>
      <c r="V22" s="351">
        <v>4.2857142857142856</v>
      </c>
      <c r="W22" s="342">
        <v>2</v>
      </c>
      <c r="X22" s="344">
        <v>0</v>
      </c>
      <c r="Y22" s="342">
        <v>0</v>
      </c>
    </row>
    <row r="23" spans="1:25" x14ac:dyDescent="0.25">
      <c r="A23" s="65">
        <v>5</v>
      </c>
      <c r="B23" s="65">
        <v>4</v>
      </c>
      <c r="C23" s="67">
        <v>44378</v>
      </c>
      <c r="D23" s="68">
        <v>44469</v>
      </c>
      <c r="E23" s="136">
        <v>8333.3333333333339</v>
      </c>
      <c r="F23" s="2">
        <f t="shared" si="0"/>
        <v>166666.66666666669</v>
      </c>
      <c r="G23" s="2">
        <v>0</v>
      </c>
      <c r="H23" s="45">
        <f t="shared" si="1"/>
        <v>200000</v>
      </c>
      <c r="I23" s="139">
        <v>193982.41666666666</v>
      </c>
      <c r="J23" s="2">
        <f t="shared" si="2"/>
        <v>3879648.3333333321</v>
      </c>
      <c r="K23" s="3">
        <v>117627</v>
      </c>
      <c r="L23" s="45">
        <f t="shared" si="3"/>
        <v>3221961</v>
      </c>
      <c r="M23" s="139">
        <v>4240.375</v>
      </c>
      <c r="N23" s="3">
        <f t="shared" si="4"/>
        <v>84807.5</v>
      </c>
      <c r="O23" s="3">
        <v>24227</v>
      </c>
      <c r="P23" s="53">
        <f t="shared" si="5"/>
        <v>90619</v>
      </c>
      <c r="Q23" s="139">
        <v>207082.5</v>
      </c>
      <c r="R23" s="3">
        <f t="shared" si="8"/>
        <v>4141650</v>
      </c>
      <c r="S23" s="3">
        <f t="shared" si="6"/>
        <v>141854</v>
      </c>
      <c r="T23" s="3">
        <f t="shared" si="7"/>
        <v>3512580</v>
      </c>
      <c r="U23" s="60">
        <f t="shared" si="9"/>
        <v>84.811126000507045</v>
      </c>
      <c r="V23" s="351">
        <v>4.2857142857142856</v>
      </c>
      <c r="W23" s="342">
        <v>0</v>
      </c>
      <c r="X23" s="344">
        <v>0</v>
      </c>
      <c r="Y23" s="342">
        <v>0</v>
      </c>
    </row>
    <row r="24" spans="1:25" x14ac:dyDescent="0.25">
      <c r="A24" s="65">
        <v>6</v>
      </c>
      <c r="B24" s="65">
        <v>1</v>
      </c>
      <c r="C24" s="67">
        <v>44470</v>
      </c>
      <c r="D24" s="68">
        <v>44561</v>
      </c>
      <c r="E24" s="136">
        <v>8333.3333333333339</v>
      </c>
      <c r="F24" s="2">
        <f t="shared" ref="F24" si="10">SUM(F23+E24)</f>
        <v>175000.00000000003</v>
      </c>
      <c r="G24" s="2">
        <v>0</v>
      </c>
      <c r="H24" s="45">
        <f t="shared" ref="H24" si="11">SUM(H23+G24)</f>
        <v>200000</v>
      </c>
      <c r="I24" s="139">
        <v>193982.41666666666</v>
      </c>
      <c r="J24" s="2">
        <f t="shared" ref="J24" si="12">SUM(J23+I24)</f>
        <v>4073630.7499999986</v>
      </c>
      <c r="K24" s="3">
        <v>142605</v>
      </c>
      <c r="L24" s="45">
        <f t="shared" ref="L24" si="13">SUM(L23+K24)</f>
        <v>3364566</v>
      </c>
      <c r="M24" s="139">
        <v>4240.375</v>
      </c>
      <c r="N24" s="3">
        <f t="shared" ref="N24" si="14">SUM(N23+M24)</f>
        <v>89047.875</v>
      </c>
      <c r="O24" s="3">
        <v>0</v>
      </c>
      <c r="P24" s="53">
        <f t="shared" ref="P24" si="15">SUM(P23+O24)</f>
        <v>90619</v>
      </c>
      <c r="Q24" s="139">
        <v>207082.5</v>
      </c>
      <c r="R24" s="3">
        <f t="shared" si="8"/>
        <v>4348732.5</v>
      </c>
      <c r="S24" s="3">
        <f t="shared" si="6"/>
        <v>142605</v>
      </c>
      <c r="T24" s="3">
        <f t="shared" si="7"/>
        <v>3655185</v>
      </c>
      <c r="U24" s="60">
        <f t="shared" si="9"/>
        <v>84.05173231510561</v>
      </c>
      <c r="V24" s="351">
        <v>4.2857142857142856</v>
      </c>
      <c r="W24" s="342">
        <v>29</v>
      </c>
      <c r="X24" s="344">
        <v>0</v>
      </c>
      <c r="Y24" s="342">
        <v>0</v>
      </c>
    </row>
    <row r="25" spans="1:25" x14ac:dyDescent="0.25">
      <c r="A25" s="65">
        <v>6</v>
      </c>
      <c r="B25" s="65">
        <v>2</v>
      </c>
      <c r="C25" s="67">
        <v>44562</v>
      </c>
      <c r="D25" s="68">
        <v>44651</v>
      </c>
      <c r="E25" s="136">
        <v>8333.3333333333339</v>
      </c>
      <c r="F25" s="2">
        <f t="shared" ref="F25:F26" si="16">SUM(F24+E25)</f>
        <v>183333.33333333337</v>
      </c>
      <c r="G25" s="2">
        <v>0</v>
      </c>
      <c r="H25" s="45">
        <f t="shared" ref="H25:H26" si="17">SUM(H24+G25)</f>
        <v>200000</v>
      </c>
      <c r="I25" s="139">
        <v>193982.41666666666</v>
      </c>
      <c r="J25" s="2">
        <f t="shared" ref="J25:J26" si="18">SUM(J24+I25)</f>
        <v>4267613.1666666651</v>
      </c>
      <c r="K25" s="3">
        <v>706840</v>
      </c>
      <c r="L25" s="45">
        <f t="shared" ref="L25:L26" si="19">SUM(L24+K25)</f>
        <v>4071406</v>
      </c>
      <c r="M25" s="139">
        <v>4240.375</v>
      </c>
      <c r="N25" s="3">
        <f t="shared" ref="N25:N26" si="20">SUM(N24+M25)</f>
        <v>93288.25</v>
      </c>
      <c r="O25" s="3">
        <v>4300</v>
      </c>
      <c r="P25" s="53">
        <f t="shared" ref="P25:P26" si="21">SUM(P24+O25)</f>
        <v>94919</v>
      </c>
      <c r="Q25" s="139">
        <v>207082.5</v>
      </c>
      <c r="R25" s="3">
        <f t="shared" si="8"/>
        <v>4555815</v>
      </c>
      <c r="S25" s="3">
        <f t="shared" si="6"/>
        <v>711140</v>
      </c>
      <c r="T25" s="3">
        <f t="shared" si="7"/>
        <v>4366325</v>
      </c>
      <c r="U25" s="60">
        <f t="shared" si="9"/>
        <v>95.840700291824845</v>
      </c>
      <c r="V25" s="351">
        <v>4.2857142857142856</v>
      </c>
      <c r="W25" s="342">
        <v>0</v>
      </c>
      <c r="X25" s="344">
        <v>0</v>
      </c>
      <c r="Y25" s="342">
        <v>0</v>
      </c>
    </row>
    <row r="26" spans="1:25" x14ac:dyDescent="0.25">
      <c r="A26" s="65">
        <v>6</v>
      </c>
      <c r="B26" s="65">
        <v>1</v>
      </c>
      <c r="C26" s="67">
        <v>44652</v>
      </c>
      <c r="D26" s="68">
        <v>44742</v>
      </c>
      <c r="E26" s="136">
        <v>8333.3333333333339</v>
      </c>
      <c r="F26" s="2">
        <f t="shared" si="16"/>
        <v>191666.66666666672</v>
      </c>
      <c r="G26" s="2">
        <v>0</v>
      </c>
      <c r="H26" s="45">
        <f t="shared" si="17"/>
        <v>200000</v>
      </c>
      <c r="I26" s="139">
        <v>193982.41666666666</v>
      </c>
      <c r="J26" s="2">
        <f t="shared" si="18"/>
        <v>4461595.5833333321</v>
      </c>
      <c r="K26" s="3">
        <v>13176</v>
      </c>
      <c r="L26" s="45">
        <f t="shared" si="19"/>
        <v>4084582</v>
      </c>
      <c r="M26" s="139">
        <v>4240.375</v>
      </c>
      <c r="N26" s="3">
        <f t="shared" si="20"/>
        <v>97528.625</v>
      </c>
      <c r="O26" s="3">
        <v>1762</v>
      </c>
      <c r="P26" s="53">
        <f t="shared" si="21"/>
        <v>96681</v>
      </c>
      <c r="Q26" s="139">
        <v>207082.5</v>
      </c>
      <c r="R26" s="3">
        <f t="shared" si="8"/>
        <v>4762897.5</v>
      </c>
      <c r="S26" s="3">
        <f t="shared" si="6"/>
        <v>14938</v>
      </c>
      <c r="T26" s="3">
        <f t="shared" si="7"/>
        <v>4381263</v>
      </c>
      <c r="U26" s="60">
        <f t="shared" si="9"/>
        <v>91.987345938055569</v>
      </c>
      <c r="V26" s="351">
        <v>4.2857142857142856</v>
      </c>
      <c r="W26" s="342">
        <v>5</v>
      </c>
      <c r="X26" s="344">
        <v>0</v>
      </c>
      <c r="Y26" s="342">
        <v>0</v>
      </c>
    </row>
    <row r="27" spans="1:25" x14ac:dyDescent="0.25">
      <c r="A27" s="65">
        <v>6</v>
      </c>
      <c r="B27" s="65">
        <v>4</v>
      </c>
      <c r="C27" s="67">
        <v>44743</v>
      </c>
      <c r="D27" s="68">
        <v>44834</v>
      </c>
      <c r="E27" s="136">
        <v>8333.3333333333339</v>
      </c>
      <c r="F27" s="2">
        <f t="shared" ref="F27" si="22">SUM(F26+E27)</f>
        <v>200000.00000000006</v>
      </c>
      <c r="G27" s="2">
        <v>0</v>
      </c>
      <c r="H27" s="45">
        <f>SUM(H26+G27)</f>
        <v>200000</v>
      </c>
      <c r="I27" s="139">
        <v>193982.41666666666</v>
      </c>
      <c r="J27" s="2">
        <f>SUM(J26+I27)</f>
        <v>4655577.9999999991</v>
      </c>
      <c r="K27" s="3">
        <v>278786</v>
      </c>
      <c r="L27" s="45">
        <f>SUM(L26+K27)</f>
        <v>4363368</v>
      </c>
      <c r="M27" s="139">
        <v>4240.375</v>
      </c>
      <c r="N27" s="3">
        <f t="shared" ref="N27" si="23">SUM(N26+M27)</f>
        <v>101769</v>
      </c>
      <c r="O27" s="3">
        <v>0</v>
      </c>
      <c r="P27" s="53">
        <f t="shared" ref="P27:P28" si="24">SUM(P26+O27)</f>
        <v>96681</v>
      </c>
      <c r="Q27" s="139">
        <v>207082.5</v>
      </c>
      <c r="R27" s="3">
        <f>SUM(R26+Q27)</f>
        <v>4969980</v>
      </c>
      <c r="S27" s="3">
        <f t="shared" ref="S27:S28" si="25">SUM(G27+K27+O27)</f>
        <v>278786</v>
      </c>
      <c r="T27" s="3">
        <f>SUM(T26+S27)</f>
        <v>4660049</v>
      </c>
      <c r="U27" s="60">
        <f>SUM(T27/R27)*100</f>
        <v>93.763938687882046</v>
      </c>
      <c r="V27" s="351">
        <v>4.2857142857142856</v>
      </c>
      <c r="W27" s="342">
        <v>0</v>
      </c>
      <c r="X27" s="344">
        <v>0</v>
      </c>
      <c r="Y27" s="342">
        <v>0</v>
      </c>
    </row>
    <row r="28" spans="1:25" x14ac:dyDescent="0.25">
      <c r="A28" s="65">
        <v>7</v>
      </c>
      <c r="B28" s="65">
        <v>1</v>
      </c>
      <c r="C28" s="67">
        <v>44835</v>
      </c>
      <c r="D28" s="68">
        <v>44926</v>
      </c>
      <c r="E28" s="307"/>
      <c r="F28" s="5"/>
      <c r="G28" s="5"/>
      <c r="H28" s="46"/>
      <c r="I28" s="308"/>
      <c r="J28" s="5"/>
      <c r="K28" s="6">
        <f>294449+10394</f>
        <v>304843</v>
      </c>
      <c r="L28" s="45">
        <f>SUM(L27+K28)</f>
        <v>4668211</v>
      </c>
      <c r="M28" s="308"/>
      <c r="N28" s="6"/>
      <c r="O28" s="6">
        <v>5088</v>
      </c>
      <c r="P28" s="53">
        <f t="shared" si="24"/>
        <v>101769</v>
      </c>
      <c r="Q28" s="262"/>
      <c r="R28" s="3">
        <f>SUM(R27+Q28)</f>
        <v>4969980</v>
      </c>
      <c r="S28" s="3">
        <f t="shared" si="25"/>
        <v>309931</v>
      </c>
      <c r="T28" s="3">
        <f>SUM(T27+S28)</f>
        <v>4969980</v>
      </c>
      <c r="U28" s="60">
        <f>SUM(T28/R28)*100</f>
        <v>100</v>
      </c>
      <c r="V28" s="351"/>
      <c r="W28" s="345"/>
      <c r="X28" s="345"/>
      <c r="Y28" s="342"/>
    </row>
    <row r="29" spans="1:25" x14ac:dyDescent="0.25">
      <c r="A29" s="65">
        <v>8</v>
      </c>
      <c r="B29" s="65">
        <v>1</v>
      </c>
      <c r="C29" s="67">
        <v>44927</v>
      </c>
      <c r="D29" s="68">
        <v>45016</v>
      </c>
      <c r="E29" s="307"/>
      <c r="F29" s="5"/>
      <c r="G29" s="5"/>
      <c r="H29" s="46"/>
      <c r="I29" s="308"/>
      <c r="J29" s="5"/>
      <c r="K29" s="6"/>
      <c r="L29" s="46"/>
      <c r="M29" s="308"/>
      <c r="N29" s="6"/>
      <c r="O29" s="6"/>
      <c r="P29" s="54"/>
      <c r="Q29" s="262"/>
      <c r="R29" s="6"/>
      <c r="S29" s="6"/>
      <c r="T29" s="6"/>
      <c r="U29" s="61"/>
      <c r="V29" s="345"/>
      <c r="W29" s="345"/>
      <c r="X29" s="345"/>
      <c r="Y29" s="345"/>
    </row>
    <row r="30" spans="1:25" ht="15.75" thickBot="1" x14ac:dyDescent="0.3">
      <c r="A30" s="113"/>
      <c r="B30" s="113"/>
      <c r="C30" s="114"/>
      <c r="D30" s="115"/>
      <c r="E30" s="97">
        <f>SUM(E4:E27)</f>
        <v>200000.00000000006</v>
      </c>
      <c r="F30" s="98" t="s">
        <v>71</v>
      </c>
      <c r="G30" s="98" t="s">
        <v>19</v>
      </c>
      <c r="H30" s="99">
        <f>SUM(E30-H27)</f>
        <v>5.8207660913467407E-11</v>
      </c>
      <c r="I30" s="111">
        <v>4668211</v>
      </c>
      <c r="J30" s="98" t="s">
        <v>71</v>
      </c>
      <c r="K30" s="98" t="s">
        <v>19</v>
      </c>
      <c r="L30" s="99">
        <f>SUM(I30-L28)</f>
        <v>0</v>
      </c>
      <c r="M30" s="111">
        <v>101769</v>
      </c>
      <c r="N30" s="98" t="s">
        <v>71</v>
      </c>
      <c r="O30" s="98" t="s">
        <v>19</v>
      </c>
      <c r="P30" s="99">
        <f>SUM(M30-P28)</f>
        <v>0</v>
      </c>
      <c r="Q30" s="111">
        <v>4969980</v>
      </c>
      <c r="R30" s="98" t="s">
        <v>71</v>
      </c>
      <c r="S30" s="98" t="s">
        <v>19</v>
      </c>
      <c r="T30" s="108">
        <f>SUM(Q30-T28)</f>
        <v>0</v>
      </c>
      <c r="U30" s="109"/>
      <c r="V30" s="345">
        <f>SUM(V4:V29)</f>
        <v>90.000000000000028</v>
      </c>
      <c r="W30" s="345">
        <f t="shared" ref="W30:Y30" si="26">SUM(W4:W29)</f>
        <v>36</v>
      </c>
      <c r="X30" s="345">
        <f t="shared" si="26"/>
        <v>1</v>
      </c>
      <c r="Y30" s="345">
        <f t="shared" si="26"/>
        <v>1</v>
      </c>
    </row>
    <row r="31" spans="1:25" ht="15.75" thickTop="1" x14ac:dyDescent="0.25"/>
    <row r="32" spans="1:25" x14ac:dyDescent="0.25">
      <c r="C32" s="18" t="s">
        <v>159</v>
      </c>
      <c r="D32" s="377">
        <v>44834</v>
      </c>
      <c r="R32" s="75"/>
    </row>
    <row r="33" spans="3:3" x14ac:dyDescent="0.25">
      <c r="C33" t="s">
        <v>165</v>
      </c>
    </row>
  </sheetData>
  <mergeCells count="6">
    <mergeCell ref="A1:U1"/>
    <mergeCell ref="A2:D2"/>
    <mergeCell ref="E2:H2"/>
    <mergeCell ref="I2:L2"/>
    <mergeCell ref="M2:P2"/>
    <mergeCell ref="Q2:T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33527-D366-48DF-AE2D-6B2473938E45}">
  <dimension ref="A1:Y34"/>
  <sheetViews>
    <sheetView zoomScale="80" zoomScaleNormal="80" workbookViewId="0">
      <selection activeCell="N35" sqref="N35"/>
    </sheetView>
  </sheetViews>
  <sheetFormatPr defaultRowHeight="15" x14ac:dyDescent="0.25"/>
  <cols>
    <col min="1" max="1" width="2.42578125" customWidth="1"/>
    <col min="2" max="2" width="2.28515625" customWidth="1"/>
    <col min="5" max="5" width="14.42578125" bestFit="1" customWidth="1"/>
    <col min="9" max="9" width="15.28515625" bestFit="1" customWidth="1"/>
    <col min="10" max="12" width="11.42578125" bestFit="1" customWidth="1"/>
    <col min="13" max="13" width="15.7109375" bestFit="1" customWidth="1"/>
    <col min="17" max="17" width="11.42578125" bestFit="1" customWidth="1"/>
    <col min="18" max="18" width="12.5703125" bestFit="1" customWidth="1"/>
    <col min="19" max="20" width="11.42578125" bestFit="1" customWidth="1"/>
    <col min="22" max="22" width="13" customWidth="1"/>
    <col min="23" max="24" width="12.28515625" customWidth="1"/>
    <col min="25" max="25" width="11.28515625" customWidth="1"/>
  </cols>
  <sheetData>
    <row r="1" spans="1:25" ht="15.75" thickBot="1" x14ac:dyDescent="0.3">
      <c r="A1" s="395" t="s">
        <v>119</v>
      </c>
      <c r="B1" s="395"/>
      <c r="C1" s="395"/>
      <c r="D1" s="395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396"/>
      <c r="R1" s="396"/>
      <c r="S1" s="396"/>
      <c r="T1" s="396"/>
      <c r="U1" s="396"/>
      <c r="V1" s="358"/>
      <c r="W1" s="358"/>
      <c r="X1" s="358"/>
      <c r="Y1" s="358"/>
    </row>
    <row r="2" spans="1:25" ht="15.75" thickTop="1" x14ac:dyDescent="0.25">
      <c r="A2" s="414" t="s">
        <v>30</v>
      </c>
      <c r="B2" s="414"/>
      <c r="C2" s="414"/>
      <c r="D2" s="415"/>
      <c r="E2" s="416" t="s">
        <v>73</v>
      </c>
      <c r="F2" s="417"/>
      <c r="G2" s="417"/>
      <c r="H2" s="418"/>
      <c r="I2" s="416" t="s">
        <v>74</v>
      </c>
      <c r="J2" s="417"/>
      <c r="K2" s="417"/>
      <c r="L2" s="418"/>
      <c r="M2" s="416" t="s">
        <v>34</v>
      </c>
      <c r="N2" s="417"/>
      <c r="O2" s="417"/>
      <c r="P2" s="418"/>
      <c r="Q2" s="416" t="s">
        <v>35</v>
      </c>
      <c r="R2" s="417"/>
      <c r="S2" s="417"/>
      <c r="T2" s="417"/>
      <c r="U2" s="112"/>
      <c r="V2" s="347"/>
      <c r="W2" s="347"/>
      <c r="X2" s="347"/>
      <c r="Y2" s="347"/>
    </row>
    <row r="3" spans="1:25" ht="72" x14ac:dyDescent="0.25">
      <c r="A3" s="77" t="s">
        <v>46</v>
      </c>
      <c r="B3" s="77" t="s">
        <v>47</v>
      </c>
      <c r="C3" s="77" t="s">
        <v>39</v>
      </c>
      <c r="D3" s="82" t="s">
        <v>40</v>
      </c>
      <c r="E3" s="147" t="s">
        <v>75</v>
      </c>
      <c r="F3" s="77" t="s">
        <v>76</v>
      </c>
      <c r="G3" s="77" t="s">
        <v>77</v>
      </c>
      <c r="H3" s="135" t="s">
        <v>78</v>
      </c>
      <c r="I3" s="150" t="s">
        <v>75</v>
      </c>
      <c r="J3" s="116" t="s">
        <v>76</v>
      </c>
      <c r="K3" s="116" t="s">
        <v>77</v>
      </c>
      <c r="L3" s="138" t="s">
        <v>78</v>
      </c>
      <c r="M3" s="150" t="s">
        <v>75</v>
      </c>
      <c r="N3" s="116" t="s">
        <v>76</v>
      </c>
      <c r="O3" s="116" t="s">
        <v>77</v>
      </c>
      <c r="P3" s="138" t="s">
        <v>78</v>
      </c>
      <c r="Q3" s="150" t="s">
        <v>75</v>
      </c>
      <c r="R3" s="116" t="s">
        <v>76</v>
      </c>
      <c r="S3" s="116" t="s">
        <v>77</v>
      </c>
      <c r="T3" s="116" t="s">
        <v>78</v>
      </c>
      <c r="U3" s="140" t="s">
        <v>91</v>
      </c>
      <c r="V3" s="359" t="s">
        <v>143</v>
      </c>
      <c r="W3" s="360" t="s">
        <v>144</v>
      </c>
      <c r="X3" s="359" t="s">
        <v>145</v>
      </c>
      <c r="Y3" s="360" t="s">
        <v>146</v>
      </c>
    </row>
    <row r="4" spans="1:25" ht="72" x14ac:dyDescent="0.25">
      <c r="A4" s="141" t="s">
        <v>48</v>
      </c>
      <c r="B4" s="142" t="s">
        <v>49</v>
      </c>
      <c r="C4" s="143" t="s">
        <v>50</v>
      </c>
      <c r="D4" s="146" t="s">
        <v>51</v>
      </c>
      <c r="E4" s="148" t="s">
        <v>52</v>
      </c>
      <c r="F4" s="144" t="s">
        <v>53</v>
      </c>
      <c r="G4" s="144" t="s">
        <v>54</v>
      </c>
      <c r="H4" s="149" t="s">
        <v>55</v>
      </c>
      <c r="I4" s="151" t="s">
        <v>60</v>
      </c>
      <c r="J4" s="144" t="s">
        <v>61</v>
      </c>
      <c r="K4" s="145" t="s">
        <v>62</v>
      </c>
      <c r="L4" s="149" t="s">
        <v>63</v>
      </c>
      <c r="M4" s="151" t="s">
        <v>102</v>
      </c>
      <c r="N4" s="145" t="s">
        <v>103</v>
      </c>
      <c r="O4" s="144" t="s">
        <v>104</v>
      </c>
      <c r="P4" s="152" t="s">
        <v>105</v>
      </c>
      <c r="Q4" s="151" t="s">
        <v>106</v>
      </c>
      <c r="R4" s="145" t="s">
        <v>108</v>
      </c>
      <c r="S4" s="145" t="s">
        <v>109</v>
      </c>
      <c r="T4" s="145" t="s">
        <v>110</v>
      </c>
      <c r="U4" s="153" t="s">
        <v>111</v>
      </c>
      <c r="V4" s="359"/>
      <c r="W4" s="360"/>
      <c r="X4" s="359"/>
      <c r="Y4" s="360"/>
    </row>
    <row r="5" spans="1:25" x14ac:dyDescent="0.25">
      <c r="A5" s="65">
        <v>1</v>
      </c>
      <c r="B5" s="65">
        <v>1</v>
      </c>
      <c r="C5" s="67">
        <v>42644</v>
      </c>
      <c r="D5" s="68">
        <v>42735</v>
      </c>
      <c r="E5" s="87">
        <v>8000</v>
      </c>
      <c r="F5" s="2">
        <f>SUM(0+ E5)</f>
        <v>8000</v>
      </c>
      <c r="G5" s="2">
        <v>0</v>
      </c>
      <c r="H5" s="45">
        <f>SUM(0+ G5)</f>
        <v>0</v>
      </c>
      <c r="I5" s="59">
        <v>205290.6</v>
      </c>
      <c r="J5" s="2">
        <f>SUM(0+ I5)</f>
        <v>205290.6</v>
      </c>
      <c r="K5" s="3">
        <v>0</v>
      </c>
      <c r="L5" s="45">
        <f>SUM(0+ K5)</f>
        <v>0</v>
      </c>
      <c r="M5" s="59">
        <v>4276.5600000000004</v>
      </c>
      <c r="N5" s="3">
        <f>SUM(0+ M5)</f>
        <v>4276.5600000000004</v>
      </c>
      <c r="O5" s="2">
        <v>0</v>
      </c>
      <c r="P5" s="53">
        <f>SUM(0+ O5)</f>
        <v>0</v>
      </c>
      <c r="Q5" s="59">
        <v>226246.36</v>
      </c>
      <c r="R5" s="3">
        <f>SUM(0+ Q5)</f>
        <v>226246.36</v>
      </c>
      <c r="S5" s="3">
        <f>SUM(G5+K5+O5)</f>
        <v>0</v>
      </c>
      <c r="T5" s="3">
        <f>SUM(0+ S5)</f>
        <v>0</v>
      </c>
      <c r="U5" s="60">
        <f t="shared" ref="U5:U28" si="0">SUM(T5/R5)*100</f>
        <v>0</v>
      </c>
      <c r="V5" s="344">
        <v>0</v>
      </c>
      <c r="W5" s="342">
        <v>0</v>
      </c>
      <c r="X5" s="344">
        <v>0</v>
      </c>
      <c r="Y5" s="342">
        <v>0</v>
      </c>
    </row>
    <row r="6" spans="1:25" x14ac:dyDescent="0.25">
      <c r="A6" s="65">
        <v>1</v>
      </c>
      <c r="B6" s="65">
        <v>2</v>
      </c>
      <c r="C6" s="67">
        <v>42736</v>
      </c>
      <c r="D6" s="68">
        <v>42825</v>
      </c>
      <c r="E6" s="87">
        <v>8000</v>
      </c>
      <c r="F6" s="2">
        <f t="shared" ref="F6:F24" si="1">SUM(F5+E6)</f>
        <v>16000</v>
      </c>
      <c r="G6" s="2">
        <v>0</v>
      </c>
      <c r="H6" s="45">
        <f t="shared" ref="H6:H24" si="2">SUM(H5+G6)</f>
        <v>0</v>
      </c>
      <c r="I6" s="59">
        <v>205290.6</v>
      </c>
      <c r="J6" s="2">
        <f t="shared" ref="J6:J24" si="3">SUM(J5+I6)</f>
        <v>410581.2</v>
      </c>
      <c r="K6" s="3">
        <v>0</v>
      </c>
      <c r="L6" s="45">
        <f t="shared" ref="L6:L24" si="4">SUM(L5+K6)</f>
        <v>0</v>
      </c>
      <c r="M6" s="59">
        <v>4276.5600000000004</v>
      </c>
      <c r="N6" s="3">
        <f>SUM(N5+M6)</f>
        <v>8553.1200000000008</v>
      </c>
      <c r="O6" s="3">
        <v>0</v>
      </c>
      <c r="P6" s="53">
        <f t="shared" ref="P6:P25" si="5">SUM(P5+O6)</f>
        <v>0</v>
      </c>
      <c r="Q6" s="59">
        <v>226246.36</v>
      </c>
      <c r="R6" s="3">
        <f t="shared" ref="R6:R26" si="6">SUM(R5+Q6)</f>
        <v>452492.72</v>
      </c>
      <c r="S6" s="3">
        <f t="shared" ref="S6:S29" si="7">SUM(G6+K6+O6)</f>
        <v>0</v>
      </c>
      <c r="T6" s="3">
        <f t="shared" ref="T6:T29" si="8">SUM(T5+S6)</f>
        <v>0</v>
      </c>
      <c r="U6" s="60">
        <f t="shared" si="0"/>
        <v>0</v>
      </c>
      <c r="V6" s="344">
        <v>0</v>
      </c>
      <c r="W6" s="342">
        <v>0</v>
      </c>
      <c r="X6" s="344">
        <v>0</v>
      </c>
      <c r="Y6" s="342">
        <v>0</v>
      </c>
    </row>
    <row r="7" spans="1:25" x14ac:dyDescent="0.25">
      <c r="A7" s="65">
        <v>1</v>
      </c>
      <c r="B7" s="65">
        <v>3</v>
      </c>
      <c r="C7" s="67">
        <v>42826</v>
      </c>
      <c r="D7" s="68">
        <v>42916</v>
      </c>
      <c r="E7" s="87">
        <v>8000</v>
      </c>
      <c r="F7" s="2">
        <f t="shared" si="1"/>
        <v>24000</v>
      </c>
      <c r="G7" s="2">
        <v>0</v>
      </c>
      <c r="H7" s="45">
        <f t="shared" si="2"/>
        <v>0</v>
      </c>
      <c r="I7" s="59">
        <v>205290.6</v>
      </c>
      <c r="J7" s="2">
        <f t="shared" si="3"/>
        <v>615871.80000000005</v>
      </c>
      <c r="K7" s="3">
        <v>0</v>
      </c>
      <c r="L7" s="45">
        <f t="shared" si="4"/>
        <v>0</v>
      </c>
      <c r="M7" s="59">
        <v>4276.5600000000004</v>
      </c>
      <c r="N7" s="3">
        <f t="shared" ref="N7:N28" si="9">SUM(N6+M7)</f>
        <v>12829.68</v>
      </c>
      <c r="O7" s="3">
        <v>0</v>
      </c>
      <c r="P7" s="53">
        <v>0</v>
      </c>
      <c r="Q7" s="59">
        <v>226246.36</v>
      </c>
      <c r="R7" s="3">
        <f t="shared" si="6"/>
        <v>678739.08</v>
      </c>
      <c r="S7" s="3">
        <f t="shared" si="7"/>
        <v>0</v>
      </c>
      <c r="T7" s="3">
        <f t="shared" si="8"/>
        <v>0</v>
      </c>
      <c r="U7" s="60">
        <f t="shared" si="0"/>
        <v>0</v>
      </c>
      <c r="V7" s="351">
        <v>0</v>
      </c>
      <c r="W7" s="342">
        <v>0</v>
      </c>
      <c r="X7" s="344">
        <v>0</v>
      </c>
      <c r="Y7" s="342">
        <v>0</v>
      </c>
    </row>
    <row r="8" spans="1:25" x14ac:dyDescent="0.25">
      <c r="A8" s="65">
        <v>1</v>
      </c>
      <c r="B8" s="65">
        <v>4</v>
      </c>
      <c r="C8" s="67">
        <v>42917</v>
      </c>
      <c r="D8" s="68">
        <v>43008</v>
      </c>
      <c r="E8" s="87">
        <v>8000</v>
      </c>
      <c r="F8" s="2">
        <f t="shared" si="1"/>
        <v>32000</v>
      </c>
      <c r="G8" s="2">
        <v>60000</v>
      </c>
      <c r="H8" s="45">
        <f t="shared" si="2"/>
        <v>60000</v>
      </c>
      <c r="I8" s="59">
        <v>205290.6</v>
      </c>
      <c r="J8" s="2">
        <f t="shared" si="3"/>
        <v>821162.4</v>
      </c>
      <c r="K8" s="3">
        <v>4974</v>
      </c>
      <c r="L8" s="45">
        <f t="shared" si="4"/>
        <v>4974</v>
      </c>
      <c r="M8" s="59">
        <v>4276.5600000000004</v>
      </c>
      <c r="N8" s="3">
        <f t="shared" si="9"/>
        <v>17106.240000000002</v>
      </c>
      <c r="O8" s="3">
        <v>9031</v>
      </c>
      <c r="P8" s="53">
        <f t="shared" si="5"/>
        <v>9031</v>
      </c>
      <c r="Q8" s="59">
        <v>226246.36</v>
      </c>
      <c r="R8" s="3">
        <f t="shared" si="6"/>
        <v>904985.44</v>
      </c>
      <c r="S8" s="3">
        <f t="shared" si="7"/>
        <v>74005</v>
      </c>
      <c r="T8" s="3">
        <f t="shared" si="8"/>
        <v>74005</v>
      </c>
      <c r="U8" s="60">
        <f t="shared" si="0"/>
        <v>8.1774796288435319</v>
      </c>
      <c r="V8" s="351">
        <v>4.6363636363636367</v>
      </c>
      <c r="W8" s="342">
        <v>0</v>
      </c>
      <c r="X8" s="344">
        <v>0</v>
      </c>
      <c r="Y8" s="342">
        <v>0</v>
      </c>
    </row>
    <row r="9" spans="1:25" x14ac:dyDescent="0.25">
      <c r="A9" s="65">
        <v>2</v>
      </c>
      <c r="B9" s="65">
        <v>1</v>
      </c>
      <c r="C9" s="67">
        <v>43009</v>
      </c>
      <c r="D9" s="68">
        <v>43100</v>
      </c>
      <c r="E9" s="87">
        <v>8000</v>
      </c>
      <c r="F9" s="2">
        <f t="shared" si="1"/>
        <v>40000</v>
      </c>
      <c r="G9" s="2">
        <v>0</v>
      </c>
      <c r="H9" s="45">
        <f t="shared" si="2"/>
        <v>60000</v>
      </c>
      <c r="I9" s="59">
        <v>205290.6</v>
      </c>
      <c r="J9" s="2">
        <f t="shared" si="3"/>
        <v>1026453</v>
      </c>
      <c r="K9" s="3">
        <v>139634</v>
      </c>
      <c r="L9" s="45">
        <f t="shared" si="4"/>
        <v>144608</v>
      </c>
      <c r="M9" s="59">
        <v>4276.5600000000004</v>
      </c>
      <c r="N9" s="3">
        <f t="shared" si="9"/>
        <v>21382.800000000003</v>
      </c>
      <c r="O9" s="3">
        <v>0</v>
      </c>
      <c r="P9" s="53">
        <f t="shared" si="5"/>
        <v>9031</v>
      </c>
      <c r="Q9" s="59">
        <v>226246.36</v>
      </c>
      <c r="R9" s="3">
        <f t="shared" si="6"/>
        <v>1131231.7999999998</v>
      </c>
      <c r="S9" s="3">
        <f t="shared" si="7"/>
        <v>139634</v>
      </c>
      <c r="T9" s="3">
        <f t="shared" si="8"/>
        <v>213639</v>
      </c>
      <c r="U9" s="60">
        <f t="shared" si="0"/>
        <v>18.885519307360351</v>
      </c>
      <c r="V9" s="351">
        <v>4.6363636363636367</v>
      </c>
      <c r="W9" s="342">
        <v>0</v>
      </c>
      <c r="X9" s="344">
        <v>0</v>
      </c>
      <c r="Y9" s="342">
        <v>0</v>
      </c>
    </row>
    <row r="10" spans="1:25" x14ac:dyDescent="0.25">
      <c r="A10" s="65">
        <v>2</v>
      </c>
      <c r="B10" s="65">
        <v>2</v>
      </c>
      <c r="C10" s="67">
        <v>43101</v>
      </c>
      <c r="D10" s="68">
        <v>43190</v>
      </c>
      <c r="E10" s="87">
        <v>8000</v>
      </c>
      <c r="F10" s="2">
        <f t="shared" si="1"/>
        <v>48000</v>
      </c>
      <c r="G10" s="2">
        <v>35000</v>
      </c>
      <c r="H10" s="45">
        <f t="shared" si="2"/>
        <v>95000</v>
      </c>
      <c r="I10" s="59">
        <v>205290.6</v>
      </c>
      <c r="J10" s="2">
        <f t="shared" si="3"/>
        <v>1231743.6000000001</v>
      </c>
      <c r="K10" s="3">
        <v>43053</v>
      </c>
      <c r="L10" s="45">
        <f t="shared" si="4"/>
        <v>187661</v>
      </c>
      <c r="M10" s="59">
        <v>4276.5600000000004</v>
      </c>
      <c r="N10" s="3">
        <f t="shared" si="9"/>
        <v>25659.360000000004</v>
      </c>
      <c r="O10" s="3">
        <v>4213</v>
      </c>
      <c r="P10" s="53">
        <f t="shared" si="5"/>
        <v>13244</v>
      </c>
      <c r="Q10" s="59">
        <v>226246.36</v>
      </c>
      <c r="R10" s="3">
        <f t="shared" si="6"/>
        <v>1357478.1599999997</v>
      </c>
      <c r="S10" s="3">
        <f t="shared" si="7"/>
        <v>82266</v>
      </c>
      <c r="T10" s="3">
        <f t="shared" si="8"/>
        <v>295905</v>
      </c>
      <c r="U10" s="60">
        <f t="shared" si="0"/>
        <v>21.798140752408131</v>
      </c>
      <c r="V10" s="351">
        <v>4.6363636363636367</v>
      </c>
      <c r="W10" s="342">
        <v>0</v>
      </c>
      <c r="X10" s="344">
        <v>0</v>
      </c>
      <c r="Y10" s="342">
        <v>0</v>
      </c>
    </row>
    <row r="11" spans="1:25" x14ac:dyDescent="0.25">
      <c r="A11" s="65">
        <v>2</v>
      </c>
      <c r="B11" s="65">
        <v>3</v>
      </c>
      <c r="C11" s="67">
        <v>43191</v>
      </c>
      <c r="D11" s="68">
        <v>43281</v>
      </c>
      <c r="E11" s="87">
        <v>8000</v>
      </c>
      <c r="F11" s="2">
        <f t="shared" si="1"/>
        <v>56000</v>
      </c>
      <c r="G11" s="2">
        <v>35000</v>
      </c>
      <c r="H11" s="45">
        <f t="shared" si="2"/>
        <v>130000</v>
      </c>
      <c r="I11" s="59">
        <v>205290.6</v>
      </c>
      <c r="J11" s="2">
        <f t="shared" si="3"/>
        <v>1437034.2000000002</v>
      </c>
      <c r="K11" s="3">
        <v>26914</v>
      </c>
      <c r="L11" s="45">
        <f t="shared" si="4"/>
        <v>214575</v>
      </c>
      <c r="M11" s="59">
        <v>4276.5600000000004</v>
      </c>
      <c r="N11" s="3">
        <f t="shared" si="9"/>
        <v>29935.920000000006</v>
      </c>
      <c r="O11" s="3">
        <v>3163</v>
      </c>
      <c r="P11" s="53">
        <f t="shared" si="5"/>
        <v>16407</v>
      </c>
      <c r="Q11" s="59">
        <v>226246.36</v>
      </c>
      <c r="R11" s="3">
        <f t="shared" si="6"/>
        <v>1583724.5199999996</v>
      </c>
      <c r="S11" s="3">
        <f t="shared" si="7"/>
        <v>65077</v>
      </c>
      <c r="T11" s="3">
        <f t="shared" si="8"/>
        <v>360982</v>
      </c>
      <c r="U11" s="60">
        <f t="shared" si="0"/>
        <v>22.793231742096161</v>
      </c>
      <c r="V11" s="351">
        <v>4.6363636363636367</v>
      </c>
      <c r="W11" s="342">
        <v>0</v>
      </c>
      <c r="X11" s="344">
        <v>0</v>
      </c>
      <c r="Y11" s="342">
        <v>0</v>
      </c>
    </row>
    <row r="12" spans="1:25" x14ac:dyDescent="0.25">
      <c r="A12" s="65">
        <v>2</v>
      </c>
      <c r="B12" s="65">
        <v>4</v>
      </c>
      <c r="C12" s="67">
        <v>43282</v>
      </c>
      <c r="D12" s="68">
        <v>43373</v>
      </c>
      <c r="E12" s="87">
        <v>8000</v>
      </c>
      <c r="F12" s="2">
        <f t="shared" si="1"/>
        <v>64000</v>
      </c>
      <c r="G12" s="2">
        <v>35000</v>
      </c>
      <c r="H12" s="45">
        <f>SUM(H11+G12)</f>
        <v>165000</v>
      </c>
      <c r="I12" s="59">
        <v>205290.6</v>
      </c>
      <c r="J12" s="2">
        <f t="shared" si="3"/>
        <v>1642324.8000000003</v>
      </c>
      <c r="K12" s="3">
        <v>58574</v>
      </c>
      <c r="L12" s="45">
        <f t="shared" si="4"/>
        <v>273149</v>
      </c>
      <c r="M12" s="59">
        <v>4276.5600000000004</v>
      </c>
      <c r="N12" s="3">
        <f t="shared" si="9"/>
        <v>34212.480000000003</v>
      </c>
      <c r="O12" s="3">
        <v>4694</v>
      </c>
      <c r="P12" s="53">
        <f t="shared" si="5"/>
        <v>21101</v>
      </c>
      <c r="Q12" s="59">
        <v>226246.36</v>
      </c>
      <c r="R12" s="3">
        <f t="shared" si="6"/>
        <v>1809970.8799999994</v>
      </c>
      <c r="S12" s="3">
        <f>SUM(G12+K12+O12)</f>
        <v>98268</v>
      </c>
      <c r="T12" s="3">
        <f t="shared" si="8"/>
        <v>459250</v>
      </c>
      <c r="U12" s="60">
        <f t="shared" si="0"/>
        <v>25.373336393124742</v>
      </c>
      <c r="V12" s="351">
        <v>4.6363636363636367</v>
      </c>
      <c r="W12" s="342">
        <v>0</v>
      </c>
      <c r="X12" s="344">
        <v>0</v>
      </c>
      <c r="Y12" s="342">
        <v>0</v>
      </c>
    </row>
    <row r="13" spans="1:25" x14ac:dyDescent="0.25">
      <c r="A13" s="65">
        <v>3</v>
      </c>
      <c r="B13" s="65">
        <v>1</v>
      </c>
      <c r="C13" s="67">
        <v>43374</v>
      </c>
      <c r="D13" s="68">
        <v>43465</v>
      </c>
      <c r="E13" s="87">
        <v>8000</v>
      </c>
      <c r="F13" s="2">
        <f t="shared" si="1"/>
        <v>72000</v>
      </c>
      <c r="G13" s="2">
        <v>0</v>
      </c>
      <c r="H13" s="45">
        <f t="shared" si="2"/>
        <v>165000</v>
      </c>
      <c r="I13" s="59">
        <v>205290.6</v>
      </c>
      <c r="J13" s="2">
        <f t="shared" si="3"/>
        <v>1847615.4000000004</v>
      </c>
      <c r="K13" s="3">
        <v>82449</v>
      </c>
      <c r="L13" s="45">
        <f t="shared" si="4"/>
        <v>355598</v>
      </c>
      <c r="M13" s="59">
        <v>4276.5600000000004</v>
      </c>
      <c r="N13" s="3">
        <f t="shared" si="9"/>
        <v>38489.040000000001</v>
      </c>
      <c r="O13" s="3">
        <v>3793</v>
      </c>
      <c r="P13" s="53">
        <f t="shared" si="5"/>
        <v>24894</v>
      </c>
      <c r="Q13" s="59">
        <v>226246.36</v>
      </c>
      <c r="R13" s="3">
        <f t="shared" si="6"/>
        <v>2036217.2399999993</v>
      </c>
      <c r="S13" s="3">
        <f t="shared" si="7"/>
        <v>86242</v>
      </c>
      <c r="T13" s="3">
        <f t="shared" si="8"/>
        <v>545492</v>
      </c>
      <c r="U13" s="60">
        <f t="shared" si="0"/>
        <v>26.789479495812547</v>
      </c>
      <c r="V13" s="351">
        <v>4.6363636363636367</v>
      </c>
      <c r="W13" s="342">
        <v>0</v>
      </c>
      <c r="X13" s="344">
        <v>0</v>
      </c>
      <c r="Y13" s="342">
        <v>0</v>
      </c>
    </row>
    <row r="14" spans="1:25" x14ac:dyDescent="0.25">
      <c r="A14" s="65">
        <v>3</v>
      </c>
      <c r="B14" s="65">
        <v>2</v>
      </c>
      <c r="C14" s="67">
        <v>43466</v>
      </c>
      <c r="D14" s="68">
        <v>43555</v>
      </c>
      <c r="E14" s="87">
        <v>8000</v>
      </c>
      <c r="F14" s="2">
        <f t="shared" si="1"/>
        <v>80000</v>
      </c>
      <c r="G14" s="2">
        <v>0</v>
      </c>
      <c r="H14" s="45">
        <f t="shared" si="2"/>
        <v>165000</v>
      </c>
      <c r="I14" s="59">
        <v>205290.6</v>
      </c>
      <c r="J14" s="2">
        <f t="shared" si="3"/>
        <v>2052906.0000000005</v>
      </c>
      <c r="K14" s="3">
        <v>104847</v>
      </c>
      <c r="L14" s="45">
        <f t="shared" si="4"/>
        <v>460445</v>
      </c>
      <c r="M14" s="59">
        <v>4276.5600000000004</v>
      </c>
      <c r="N14" s="3">
        <f t="shared" si="9"/>
        <v>42765.599999999999</v>
      </c>
      <c r="O14" s="3">
        <v>7728</v>
      </c>
      <c r="P14" s="53">
        <f>SUM(P13+O14)</f>
        <v>32622</v>
      </c>
      <c r="Q14" s="59">
        <v>226246.36</v>
      </c>
      <c r="R14" s="3">
        <f t="shared" si="6"/>
        <v>2262463.5999999992</v>
      </c>
      <c r="S14" s="3">
        <f t="shared" si="7"/>
        <v>112575</v>
      </c>
      <c r="T14" s="3">
        <f t="shared" si="8"/>
        <v>658067</v>
      </c>
      <c r="U14" s="60">
        <f t="shared" si="0"/>
        <v>29.086302206143795</v>
      </c>
      <c r="V14" s="351">
        <v>4.6363636363636367</v>
      </c>
      <c r="W14" s="342">
        <v>0</v>
      </c>
      <c r="X14" s="344">
        <v>0</v>
      </c>
      <c r="Y14" s="342">
        <v>0</v>
      </c>
    </row>
    <row r="15" spans="1:25" x14ac:dyDescent="0.25">
      <c r="A15" s="65">
        <v>3</v>
      </c>
      <c r="B15" s="65">
        <v>3</v>
      </c>
      <c r="C15" s="67">
        <v>43556</v>
      </c>
      <c r="D15" s="68">
        <v>43646</v>
      </c>
      <c r="E15" s="87">
        <v>8000</v>
      </c>
      <c r="F15" s="2">
        <f t="shared" si="1"/>
        <v>88000</v>
      </c>
      <c r="G15" s="2">
        <v>35000</v>
      </c>
      <c r="H15" s="45">
        <f t="shared" si="2"/>
        <v>200000</v>
      </c>
      <c r="I15" s="59">
        <v>205290.6</v>
      </c>
      <c r="J15" s="2">
        <f t="shared" si="3"/>
        <v>2258196.6000000006</v>
      </c>
      <c r="K15" s="3">
        <v>112803</v>
      </c>
      <c r="L15" s="45">
        <f t="shared" si="4"/>
        <v>573248</v>
      </c>
      <c r="M15" s="59">
        <v>4276.5600000000004</v>
      </c>
      <c r="N15" s="3">
        <f t="shared" si="9"/>
        <v>47042.159999999996</v>
      </c>
      <c r="O15" s="3">
        <v>7425</v>
      </c>
      <c r="P15" s="53">
        <f t="shared" si="5"/>
        <v>40047</v>
      </c>
      <c r="Q15" s="59">
        <v>226246.36</v>
      </c>
      <c r="R15" s="3">
        <f t="shared" si="6"/>
        <v>2488709.959999999</v>
      </c>
      <c r="S15" s="3">
        <f t="shared" si="7"/>
        <v>155228</v>
      </c>
      <c r="T15" s="3">
        <f t="shared" si="8"/>
        <v>813295</v>
      </c>
      <c r="U15" s="60">
        <f t="shared" si="0"/>
        <v>32.679380605685374</v>
      </c>
      <c r="V15" s="351">
        <v>4.6363636363636367</v>
      </c>
      <c r="W15" s="342">
        <v>0</v>
      </c>
      <c r="X15" s="344">
        <v>0</v>
      </c>
      <c r="Y15" s="342">
        <v>1</v>
      </c>
    </row>
    <row r="16" spans="1:25" x14ac:dyDescent="0.25">
      <c r="A16" s="65">
        <v>3</v>
      </c>
      <c r="B16" s="65">
        <v>4</v>
      </c>
      <c r="C16" s="67">
        <v>43653</v>
      </c>
      <c r="D16" s="68">
        <v>43738</v>
      </c>
      <c r="E16" s="87">
        <v>8000</v>
      </c>
      <c r="F16" s="2">
        <f t="shared" si="1"/>
        <v>96000</v>
      </c>
      <c r="G16" s="2">
        <v>0</v>
      </c>
      <c r="H16" s="45">
        <f t="shared" si="2"/>
        <v>200000</v>
      </c>
      <c r="I16" s="59">
        <v>205290.6</v>
      </c>
      <c r="J16" s="2">
        <f t="shared" si="3"/>
        <v>2463487.2000000007</v>
      </c>
      <c r="K16" s="3">
        <v>0</v>
      </c>
      <c r="L16" s="45">
        <f t="shared" si="4"/>
        <v>573248</v>
      </c>
      <c r="M16" s="59">
        <v>4276.5600000000004</v>
      </c>
      <c r="N16" s="3">
        <f t="shared" si="9"/>
        <v>51318.719999999994</v>
      </c>
      <c r="O16" s="3">
        <v>0</v>
      </c>
      <c r="P16" s="53">
        <f t="shared" si="5"/>
        <v>40047</v>
      </c>
      <c r="Q16" s="59">
        <v>226246.36</v>
      </c>
      <c r="R16" s="3">
        <f t="shared" si="6"/>
        <v>2714956.3199999989</v>
      </c>
      <c r="S16" s="3">
        <f t="shared" si="7"/>
        <v>0</v>
      </c>
      <c r="T16" s="3">
        <f t="shared" si="8"/>
        <v>813295</v>
      </c>
      <c r="U16" s="60">
        <f t="shared" si="0"/>
        <v>29.956098888544929</v>
      </c>
      <c r="V16" s="351">
        <v>4.6363636363636367</v>
      </c>
      <c r="W16" s="342">
        <v>0</v>
      </c>
      <c r="X16" s="344">
        <v>0</v>
      </c>
      <c r="Y16" s="342">
        <v>0</v>
      </c>
    </row>
    <row r="17" spans="1:25" x14ac:dyDescent="0.25">
      <c r="A17" s="65">
        <v>4</v>
      </c>
      <c r="B17" s="65">
        <v>1</v>
      </c>
      <c r="C17" s="67">
        <v>43739</v>
      </c>
      <c r="D17" s="68">
        <v>43830</v>
      </c>
      <c r="E17" s="87">
        <v>8000</v>
      </c>
      <c r="F17" s="2">
        <f t="shared" si="1"/>
        <v>104000</v>
      </c>
      <c r="G17" s="2">
        <v>0</v>
      </c>
      <c r="H17" s="45">
        <f t="shared" si="2"/>
        <v>200000</v>
      </c>
      <c r="I17" s="59">
        <v>205290.6</v>
      </c>
      <c r="J17" s="2">
        <f t="shared" si="3"/>
        <v>2668777.8000000007</v>
      </c>
      <c r="K17" s="3">
        <v>198617</v>
      </c>
      <c r="L17" s="45">
        <f t="shared" si="4"/>
        <v>771865</v>
      </c>
      <c r="M17" s="59">
        <v>4276.5600000000004</v>
      </c>
      <c r="N17" s="3">
        <f t="shared" si="9"/>
        <v>55595.279999999992</v>
      </c>
      <c r="O17" s="3">
        <v>5961</v>
      </c>
      <c r="P17" s="53">
        <f t="shared" si="5"/>
        <v>46008</v>
      </c>
      <c r="Q17" s="59">
        <v>226246.36</v>
      </c>
      <c r="R17" s="3">
        <f t="shared" si="6"/>
        <v>2941202.6799999988</v>
      </c>
      <c r="S17" s="3">
        <f t="shared" si="7"/>
        <v>204578</v>
      </c>
      <c r="T17" s="3">
        <f t="shared" si="8"/>
        <v>1017873</v>
      </c>
      <c r="U17" s="60">
        <f t="shared" si="0"/>
        <v>34.607373606772327</v>
      </c>
      <c r="V17" s="351">
        <v>4.6363636363636367</v>
      </c>
      <c r="W17" s="342">
        <v>0</v>
      </c>
      <c r="X17" s="344">
        <v>0</v>
      </c>
      <c r="Y17" s="342">
        <v>0</v>
      </c>
    </row>
    <row r="18" spans="1:25" x14ac:dyDescent="0.25">
      <c r="A18" s="65">
        <v>4</v>
      </c>
      <c r="B18" s="65">
        <v>2</v>
      </c>
      <c r="C18" s="67">
        <v>43831</v>
      </c>
      <c r="D18" s="68">
        <v>43921</v>
      </c>
      <c r="E18" s="87">
        <v>8000</v>
      </c>
      <c r="F18" s="2">
        <f t="shared" si="1"/>
        <v>112000</v>
      </c>
      <c r="G18" s="2">
        <v>0</v>
      </c>
      <c r="H18" s="45">
        <f t="shared" si="2"/>
        <v>200000</v>
      </c>
      <c r="I18" s="59">
        <v>205290.6</v>
      </c>
      <c r="J18" s="2">
        <f t="shared" si="3"/>
        <v>2874068.4000000008</v>
      </c>
      <c r="K18" s="3">
        <v>148966</v>
      </c>
      <c r="L18" s="45">
        <f t="shared" si="4"/>
        <v>920831</v>
      </c>
      <c r="M18" s="59">
        <v>4276.5600000000004</v>
      </c>
      <c r="N18" s="3">
        <f t="shared" si="9"/>
        <v>59871.839999999989</v>
      </c>
      <c r="O18" s="3">
        <v>0</v>
      </c>
      <c r="P18" s="53">
        <f t="shared" si="5"/>
        <v>46008</v>
      </c>
      <c r="Q18" s="59">
        <v>226246.36</v>
      </c>
      <c r="R18" s="3">
        <f t="shared" si="6"/>
        <v>3167449.0399999986</v>
      </c>
      <c r="S18" s="3">
        <f t="shared" si="7"/>
        <v>148966</v>
      </c>
      <c r="T18" s="3">
        <f t="shared" si="8"/>
        <v>1166839</v>
      </c>
      <c r="U18" s="60">
        <f t="shared" si="0"/>
        <v>36.83844586809834</v>
      </c>
      <c r="V18" s="351">
        <v>4.6363636363636367</v>
      </c>
      <c r="W18" s="342">
        <v>0</v>
      </c>
      <c r="X18" s="344">
        <v>1</v>
      </c>
      <c r="Y18" s="342">
        <v>0</v>
      </c>
    </row>
    <row r="19" spans="1:25" x14ac:dyDescent="0.25">
      <c r="A19" s="65">
        <v>4</v>
      </c>
      <c r="B19" s="65">
        <v>3</v>
      </c>
      <c r="C19" s="67">
        <v>43922</v>
      </c>
      <c r="D19" s="68">
        <v>44012</v>
      </c>
      <c r="E19" s="87">
        <v>8000</v>
      </c>
      <c r="F19" s="2">
        <f t="shared" si="1"/>
        <v>120000</v>
      </c>
      <c r="G19" s="2">
        <v>0</v>
      </c>
      <c r="H19" s="45">
        <f t="shared" si="2"/>
        <v>200000</v>
      </c>
      <c r="I19" s="59">
        <v>205290.6</v>
      </c>
      <c r="J19" s="2">
        <f t="shared" si="3"/>
        <v>3079359.0000000009</v>
      </c>
      <c r="K19" s="3">
        <v>40498</v>
      </c>
      <c r="L19" s="45">
        <f t="shared" si="4"/>
        <v>961329</v>
      </c>
      <c r="M19" s="59">
        <v>4276.5600000000004</v>
      </c>
      <c r="N19" s="3">
        <f t="shared" si="9"/>
        <v>64148.399999999987</v>
      </c>
      <c r="O19" s="3">
        <v>5850</v>
      </c>
      <c r="P19" s="53">
        <f t="shared" si="5"/>
        <v>51858</v>
      </c>
      <c r="Q19" s="59">
        <v>226246.36</v>
      </c>
      <c r="R19" s="3">
        <f t="shared" si="6"/>
        <v>3393695.3999999985</v>
      </c>
      <c r="S19" s="3">
        <f t="shared" si="7"/>
        <v>46348</v>
      </c>
      <c r="T19" s="3">
        <f t="shared" si="8"/>
        <v>1213187</v>
      </c>
      <c r="U19" s="60">
        <f t="shared" si="0"/>
        <v>35.748258373453332</v>
      </c>
      <c r="V19" s="351">
        <v>4.6363636363636367</v>
      </c>
      <c r="W19" s="342">
        <v>0</v>
      </c>
      <c r="X19" s="344">
        <v>0</v>
      </c>
      <c r="Y19" s="342">
        <v>0</v>
      </c>
    </row>
    <row r="20" spans="1:25" x14ac:dyDescent="0.25">
      <c r="A20" s="65">
        <v>4</v>
      </c>
      <c r="B20" s="65">
        <v>4</v>
      </c>
      <c r="C20" s="67">
        <v>44013</v>
      </c>
      <c r="D20" s="68">
        <v>44104</v>
      </c>
      <c r="E20" s="87">
        <v>8000</v>
      </c>
      <c r="F20" s="2">
        <f t="shared" si="1"/>
        <v>128000</v>
      </c>
      <c r="G20" s="2">
        <v>0</v>
      </c>
      <c r="H20" s="45">
        <f t="shared" si="2"/>
        <v>200000</v>
      </c>
      <c r="I20" s="59">
        <v>205290.6</v>
      </c>
      <c r="J20" s="2">
        <f t="shared" si="3"/>
        <v>3284649.600000001</v>
      </c>
      <c r="K20" s="3">
        <v>147277</v>
      </c>
      <c r="L20" s="45">
        <f t="shared" si="4"/>
        <v>1108606</v>
      </c>
      <c r="M20" s="59">
        <v>4276.5600000000004</v>
      </c>
      <c r="N20" s="3">
        <f t="shared" si="9"/>
        <v>68424.959999999992</v>
      </c>
      <c r="O20" s="3">
        <v>7443</v>
      </c>
      <c r="P20" s="53">
        <f t="shared" si="5"/>
        <v>59301</v>
      </c>
      <c r="Q20" s="59">
        <v>226246.36</v>
      </c>
      <c r="R20" s="3">
        <f t="shared" si="6"/>
        <v>3619941.7599999984</v>
      </c>
      <c r="S20" s="3">
        <f t="shared" si="7"/>
        <v>154720</v>
      </c>
      <c r="T20" s="3">
        <f t="shared" si="8"/>
        <v>1367907</v>
      </c>
      <c r="U20" s="60">
        <f t="shared" si="0"/>
        <v>37.788094137735541</v>
      </c>
      <c r="V20" s="351">
        <v>4.6363636363636367</v>
      </c>
      <c r="W20" s="342">
        <v>4</v>
      </c>
      <c r="X20" s="344">
        <v>0</v>
      </c>
      <c r="Y20" s="342">
        <v>0</v>
      </c>
    </row>
    <row r="21" spans="1:25" x14ac:dyDescent="0.25">
      <c r="A21" s="65">
        <v>5</v>
      </c>
      <c r="B21" s="65">
        <v>1</v>
      </c>
      <c r="C21" s="67">
        <v>44105</v>
      </c>
      <c r="D21" s="68">
        <v>44196</v>
      </c>
      <c r="E21" s="87">
        <v>8000</v>
      </c>
      <c r="F21" s="2">
        <f t="shared" si="1"/>
        <v>136000</v>
      </c>
      <c r="G21" s="2">
        <v>0</v>
      </c>
      <c r="H21" s="45">
        <f t="shared" si="2"/>
        <v>200000</v>
      </c>
      <c r="I21" s="59">
        <v>205290.6</v>
      </c>
      <c r="J21" s="2">
        <f t="shared" si="3"/>
        <v>3489940.2000000011</v>
      </c>
      <c r="K21" s="3">
        <v>239395</v>
      </c>
      <c r="L21" s="45">
        <f t="shared" si="4"/>
        <v>1348001</v>
      </c>
      <c r="M21" s="59">
        <v>4276.5600000000004</v>
      </c>
      <c r="N21" s="3">
        <f t="shared" si="9"/>
        <v>72701.51999999999</v>
      </c>
      <c r="O21" s="3">
        <v>5911</v>
      </c>
      <c r="P21" s="53">
        <f t="shared" si="5"/>
        <v>65212</v>
      </c>
      <c r="Q21" s="59">
        <v>226246.36</v>
      </c>
      <c r="R21" s="3">
        <f t="shared" si="6"/>
        <v>3846188.1199999982</v>
      </c>
      <c r="S21" s="3">
        <f t="shared" si="7"/>
        <v>245306</v>
      </c>
      <c r="T21" s="3">
        <f t="shared" si="8"/>
        <v>1613213</v>
      </c>
      <c r="U21" s="60">
        <f t="shared" si="0"/>
        <v>41.943164236074878</v>
      </c>
      <c r="V21" s="351">
        <v>4.6363636363636367</v>
      </c>
      <c r="W21" s="342">
        <v>6</v>
      </c>
      <c r="X21" s="344">
        <v>0</v>
      </c>
      <c r="Y21" s="342">
        <v>0</v>
      </c>
    </row>
    <row r="22" spans="1:25" x14ac:dyDescent="0.25">
      <c r="A22" s="65">
        <v>5</v>
      </c>
      <c r="B22" s="65">
        <v>2</v>
      </c>
      <c r="C22" s="67">
        <v>44197</v>
      </c>
      <c r="D22" s="68">
        <v>44286</v>
      </c>
      <c r="E22" s="87">
        <v>8000</v>
      </c>
      <c r="F22" s="2">
        <f t="shared" si="1"/>
        <v>144000</v>
      </c>
      <c r="G22" s="2">
        <v>0</v>
      </c>
      <c r="H22" s="45">
        <f t="shared" si="2"/>
        <v>200000</v>
      </c>
      <c r="I22" s="59">
        <v>205290.6</v>
      </c>
      <c r="J22" s="2">
        <f t="shared" si="3"/>
        <v>3695230.8000000012</v>
      </c>
      <c r="K22" s="3">
        <v>806119</v>
      </c>
      <c r="L22" s="45">
        <f t="shared" si="4"/>
        <v>2154120</v>
      </c>
      <c r="M22" s="59">
        <v>4276.5600000000004</v>
      </c>
      <c r="N22" s="3">
        <f t="shared" si="9"/>
        <v>76978.079999999987</v>
      </c>
      <c r="O22" s="3">
        <v>12188</v>
      </c>
      <c r="P22" s="53">
        <f t="shared" si="5"/>
        <v>77400</v>
      </c>
      <c r="Q22" s="59">
        <v>226246.36</v>
      </c>
      <c r="R22" s="3">
        <f t="shared" si="6"/>
        <v>4072434.4799999981</v>
      </c>
      <c r="S22" s="3">
        <f t="shared" si="7"/>
        <v>818307</v>
      </c>
      <c r="T22" s="3">
        <f t="shared" si="8"/>
        <v>2431520</v>
      </c>
      <c r="U22" s="60">
        <f t="shared" si="0"/>
        <v>59.706792385276167</v>
      </c>
      <c r="V22" s="351">
        <v>4.6363636363636367</v>
      </c>
      <c r="W22" s="342">
        <v>8</v>
      </c>
      <c r="X22" s="344">
        <v>0</v>
      </c>
      <c r="Y22" s="342">
        <v>0</v>
      </c>
    </row>
    <row r="23" spans="1:25" x14ac:dyDescent="0.25">
      <c r="A23" s="65">
        <v>5</v>
      </c>
      <c r="B23" s="65">
        <v>3</v>
      </c>
      <c r="C23" s="67">
        <v>44287</v>
      </c>
      <c r="D23" s="68">
        <v>44377</v>
      </c>
      <c r="E23" s="87">
        <v>8000</v>
      </c>
      <c r="F23" s="2">
        <f t="shared" si="1"/>
        <v>152000</v>
      </c>
      <c r="G23" s="2">
        <v>0</v>
      </c>
      <c r="H23" s="45">
        <f t="shared" si="2"/>
        <v>200000</v>
      </c>
      <c r="I23" s="59">
        <v>205290.6</v>
      </c>
      <c r="J23" s="2">
        <f t="shared" si="3"/>
        <v>3900521.4000000013</v>
      </c>
      <c r="K23" s="3">
        <v>0</v>
      </c>
      <c r="L23" s="45">
        <f t="shared" si="4"/>
        <v>2154120</v>
      </c>
      <c r="M23" s="59">
        <v>4276.5600000000004</v>
      </c>
      <c r="N23" s="3">
        <f t="shared" si="9"/>
        <v>81254.639999999985</v>
      </c>
      <c r="O23" s="3">
        <v>0</v>
      </c>
      <c r="P23" s="53">
        <f t="shared" si="5"/>
        <v>77400</v>
      </c>
      <c r="Q23" s="59">
        <v>226246.36</v>
      </c>
      <c r="R23" s="3">
        <f t="shared" si="6"/>
        <v>4298680.839999998</v>
      </c>
      <c r="S23" s="3">
        <f t="shared" si="7"/>
        <v>0</v>
      </c>
      <c r="T23" s="3">
        <f t="shared" si="8"/>
        <v>2431520</v>
      </c>
      <c r="U23" s="60">
        <f t="shared" si="0"/>
        <v>56.564329628156372</v>
      </c>
      <c r="V23" s="351">
        <v>4.6363636363636367</v>
      </c>
      <c r="W23" s="342">
        <v>0</v>
      </c>
      <c r="X23" s="344">
        <v>0</v>
      </c>
      <c r="Y23" s="342">
        <v>0</v>
      </c>
    </row>
    <row r="24" spans="1:25" x14ac:dyDescent="0.25">
      <c r="A24" s="65">
        <v>5</v>
      </c>
      <c r="B24" s="65">
        <v>4</v>
      </c>
      <c r="C24" s="67">
        <v>44378</v>
      </c>
      <c r="D24" s="68">
        <v>44469</v>
      </c>
      <c r="E24" s="87">
        <v>8000</v>
      </c>
      <c r="F24" s="2">
        <f t="shared" si="1"/>
        <v>160000</v>
      </c>
      <c r="G24" s="2">
        <v>0</v>
      </c>
      <c r="H24" s="45">
        <f t="shared" si="2"/>
        <v>200000</v>
      </c>
      <c r="I24" s="59">
        <v>205290.6</v>
      </c>
      <c r="J24" s="2">
        <f t="shared" si="3"/>
        <v>4105812.0000000014</v>
      </c>
      <c r="K24" s="3">
        <v>773767</v>
      </c>
      <c r="L24" s="45">
        <f t="shared" si="4"/>
        <v>2927887</v>
      </c>
      <c r="M24" s="59">
        <v>4276.5600000000004</v>
      </c>
      <c r="N24" s="3">
        <f t="shared" si="9"/>
        <v>85531.199999999983</v>
      </c>
      <c r="O24" s="3">
        <v>8196</v>
      </c>
      <c r="P24" s="53">
        <f t="shared" si="5"/>
        <v>85596</v>
      </c>
      <c r="Q24" s="59">
        <v>226246.36</v>
      </c>
      <c r="R24" s="3">
        <f t="shared" si="6"/>
        <v>4524927.1999999983</v>
      </c>
      <c r="S24" s="3">
        <f t="shared" si="7"/>
        <v>781963</v>
      </c>
      <c r="T24" s="3">
        <f t="shared" si="8"/>
        <v>3213483</v>
      </c>
      <c r="U24" s="60">
        <f t="shared" si="0"/>
        <v>71.017341450266898</v>
      </c>
      <c r="V24" s="351">
        <v>4.6363636363636367</v>
      </c>
      <c r="W24" s="342">
        <v>0</v>
      </c>
      <c r="X24" s="344">
        <v>0</v>
      </c>
      <c r="Y24" s="342">
        <v>0</v>
      </c>
    </row>
    <row r="25" spans="1:25" x14ac:dyDescent="0.25">
      <c r="A25" s="65">
        <v>6</v>
      </c>
      <c r="B25" s="65">
        <v>1</v>
      </c>
      <c r="C25" s="67">
        <v>44470</v>
      </c>
      <c r="D25" s="68">
        <v>44561</v>
      </c>
      <c r="E25" s="87">
        <v>8000</v>
      </c>
      <c r="F25" s="2">
        <f t="shared" ref="F25" si="10">SUM(F24+E25)</f>
        <v>168000</v>
      </c>
      <c r="G25" s="2">
        <v>0</v>
      </c>
      <c r="H25" s="45">
        <f t="shared" ref="H25" si="11">SUM(H24+G25)</f>
        <v>200000</v>
      </c>
      <c r="I25" s="59">
        <v>205290.6</v>
      </c>
      <c r="J25" s="2">
        <f t="shared" ref="J25" si="12">SUM(J24+I25)</f>
        <v>4311102.6000000015</v>
      </c>
      <c r="K25" s="3">
        <v>0</v>
      </c>
      <c r="L25" s="45">
        <f t="shared" ref="L25:L30" si="13">SUM(L24+K25)</f>
        <v>2927887</v>
      </c>
      <c r="M25" s="59">
        <v>4276.5600000000004</v>
      </c>
      <c r="N25" s="3">
        <f t="shared" si="9"/>
        <v>89807.75999999998</v>
      </c>
      <c r="O25" s="3">
        <v>0</v>
      </c>
      <c r="P25" s="53">
        <f t="shared" si="5"/>
        <v>85596</v>
      </c>
      <c r="Q25" s="59">
        <v>226246.36</v>
      </c>
      <c r="R25" s="3">
        <f t="shared" si="6"/>
        <v>4751173.5599999987</v>
      </c>
      <c r="S25" s="3">
        <f t="shared" si="7"/>
        <v>0</v>
      </c>
      <c r="T25" s="3">
        <f t="shared" si="8"/>
        <v>3213483</v>
      </c>
      <c r="U25" s="60">
        <f t="shared" si="0"/>
        <v>67.635563285968473</v>
      </c>
      <c r="V25" s="351">
        <v>4.6363636363636367</v>
      </c>
      <c r="W25" s="342">
        <v>11</v>
      </c>
      <c r="X25" s="344">
        <v>0</v>
      </c>
      <c r="Y25" s="342">
        <v>0</v>
      </c>
    </row>
    <row r="26" spans="1:25" x14ac:dyDescent="0.25">
      <c r="A26" s="65">
        <v>6</v>
      </c>
      <c r="B26" s="65">
        <v>2</v>
      </c>
      <c r="C26" s="67">
        <v>44562</v>
      </c>
      <c r="D26" s="68">
        <v>44651</v>
      </c>
      <c r="E26" s="87">
        <v>8000</v>
      </c>
      <c r="F26" s="2">
        <f t="shared" ref="F26:F29" si="14">SUM(F25+E26)</f>
        <v>176000</v>
      </c>
      <c r="G26" s="2">
        <v>0</v>
      </c>
      <c r="H26" s="45">
        <f t="shared" ref="H26:H29" si="15">SUM(H25+G26)</f>
        <v>200000</v>
      </c>
      <c r="I26" s="59">
        <v>205290.6</v>
      </c>
      <c r="J26" s="2">
        <f t="shared" ref="J26:J29" si="16">SUM(J25+I26)</f>
        <v>4516393.2000000011</v>
      </c>
      <c r="K26" s="3">
        <v>1291260</v>
      </c>
      <c r="L26" s="45">
        <f t="shared" si="13"/>
        <v>4219147</v>
      </c>
      <c r="M26" s="59">
        <v>4276.5600000000004</v>
      </c>
      <c r="N26" s="3">
        <f t="shared" si="9"/>
        <v>94084.319999999978</v>
      </c>
      <c r="O26" s="3">
        <v>4361</v>
      </c>
      <c r="P26" s="53">
        <f t="shared" ref="P26" si="17">SUM(P25+O26)</f>
        <v>89957</v>
      </c>
      <c r="Q26" s="59">
        <v>226246.36</v>
      </c>
      <c r="R26" s="3">
        <f t="shared" si="6"/>
        <v>4977419.919999999</v>
      </c>
      <c r="S26" s="3">
        <f t="shared" si="7"/>
        <v>1295621</v>
      </c>
      <c r="T26" s="3">
        <f t="shared" si="8"/>
        <v>4509104</v>
      </c>
      <c r="U26" s="60">
        <f t="shared" si="0"/>
        <v>90.591191269230933</v>
      </c>
      <c r="V26" s="351">
        <v>4.6363636363636367</v>
      </c>
      <c r="W26" s="342">
        <v>0</v>
      </c>
      <c r="X26" s="344">
        <v>0</v>
      </c>
      <c r="Y26" s="342">
        <v>0</v>
      </c>
    </row>
    <row r="27" spans="1:25" x14ac:dyDescent="0.25">
      <c r="A27" s="65">
        <v>6</v>
      </c>
      <c r="B27" s="65">
        <v>3</v>
      </c>
      <c r="C27" s="67">
        <v>44652</v>
      </c>
      <c r="D27" s="68">
        <v>44742</v>
      </c>
      <c r="E27" s="87">
        <v>8000</v>
      </c>
      <c r="F27" s="2">
        <f t="shared" si="14"/>
        <v>184000</v>
      </c>
      <c r="G27" s="2">
        <v>0</v>
      </c>
      <c r="H27" s="45">
        <f t="shared" si="15"/>
        <v>200000</v>
      </c>
      <c r="I27" s="59">
        <v>205290.6</v>
      </c>
      <c r="J27" s="2">
        <f t="shared" si="16"/>
        <v>4721683.8000000007</v>
      </c>
      <c r="K27" s="3">
        <v>0</v>
      </c>
      <c r="L27" s="45">
        <f t="shared" si="13"/>
        <v>4219147</v>
      </c>
      <c r="M27" s="59">
        <v>4276.5600000000004</v>
      </c>
      <c r="N27" s="3">
        <f t="shared" si="9"/>
        <v>98360.879999999976</v>
      </c>
      <c r="O27" s="3">
        <v>0</v>
      </c>
      <c r="P27" s="53">
        <f>SUM(P26+O27)</f>
        <v>89957</v>
      </c>
      <c r="Q27" s="59">
        <v>226246.36</v>
      </c>
      <c r="R27" s="3">
        <f>SUM(R26+Q27)</f>
        <v>5203666.2799999993</v>
      </c>
      <c r="S27" s="3">
        <f>SUM(G27+K27+O27)</f>
        <v>0</v>
      </c>
      <c r="T27" s="3">
        <f t="shared" si="8"/>
        <v>4509104</v>
      </c>
      <c r="U27" s="60">
        <f t="shared" si="0"/>
        <v>86.652443822742626</v>
      </c>
      <c r="V27" s="351">
        <v>4.6363636363636367</v>
      </c>
      <c r="W27" s="342">
        <v>4</v>
      </c>
      <c r="X27" s="344">
        <v>0</v>
      </c>
      <c r="Y27" s="342">
        <v>0</v>
      </c>
    </row>
    <row r="28" spans="1:25" x14ac:dyDescent="0.25">
      <c r="A28" s="65">
        <v>6</v>
      </c>
      <c r="B28" s="65">
        <v>4</v>
      </c>
      <c r="C28" s="67">
        <v>44743</v>
      </c>
      <c r="D28" s="68">
        <v>44834</v>
      </c>
      <c r="E28" s="87">
        <v>8000</v>
      </c>
      <c r="F28" s="2">
        <f t="shared" si="14"/>
        <v>192000</v>
      </c>
      <c r="G28" s="2">
        <v>0</v>
      </c>
      <c r="H28" s="45">
        <f t="shared" si="15"/>
        <v>200000</v>
      </c>
      <c r="I28" s="59">
        <v>205290.6</v>
      </c>
      <c r="J28" s="2">
        <f t="shared" si="16"/>
        <v>4926974.4000000004</v>
      </c>
      <c r="K28" s="3"/>
      <c r="L28" s="45">
        <f t="shared" si="13"/>
        <v>4219147</v>
      </c>
      <c r="M28" s="59">
        <v>4276.5600000000004</v>
      </c>
      <c r="N28" s="3">
        <f t="shared" si="9"/>
        <v>102637.43999999997</v>
      </c>
      <c r="O28" s="3">
        <v>0</v>
      </c>
      <c r="P28" s="53">
        <f>SUM(P26+O28)</f>
        <v>89957</v>
      </c>
      <c r="Q28" s="59">
        <v>226246.36</v>
      </c>
      <c r="R28" s="3">
        <f t="shared" ref="R28:R29" si="18">SUM(R27+Q28)</f>
        <v>5429912.6399999997</v>
      </c>
      <c r="S28" s="3">
        <f>SUM(G28+K28+O28)</f>
        <v>0</v>
      </c>
      <c r="T28" s="3">
        <f t="shared" si="8"/>
        <v>4509104</v>
      </c>
      <c r="U28" s="60">
        <f t="shared" si="0"/>
        <v>83.041925330128336</v>
      </c>
      <c r="V28" s="351">
        <v>4.6363636363636367</v>
      </c>
      <c r="W28" s="342">
        <v>3</v>
      </c>
      <c r="X28" s="344">
        <v>0</v>
      </c>
      <c r="Y28" s="342">
        <v>0</v>
      </c>
    </row>
    <row r="29" spans="1:25" x14ac:dyDescent="0.25">
      <c r="A29" s="65">
        <v>7</v>
      </c>
      <c r="B29" s="65">
        <v>1</v>
      </c>
      <c r="C29" s="67">
        <v>44835</v>
      </c>
      <c r="D29" s="68">
        <v>44926</v>
      </c>
      <c r="E29" s="87">
        <v>8000</v>
      </c>
      <c r="F29" s="2">
        <f t="shared" si="14"/>
        <v>200000</v>
      </c>
      <c r="G29" s="2">
        <v>0</v>
      </c>
      <c r="H29" s="45">
        <f t="shared" si="15"/>
        <v>200000</v>
      </c>
      <c r="I29" s="59">
        <v>205290.6</v>
      </c>
      <c r="J29" s="2">
        <f t="shared" si="16"/>
        <v>5132265</v>
      </c>
      <c r="K29" s="3">
        <v>913118</v>
      </c>
      <c r="L29" s="45">
        <f t="shared" si="13"/>
        <v>5132265</v>
      </c>
      <c r="M29" s="59">
        <v>4276.5600000000004</v>
      </c>
      <c r="N29" s="3">
        <f>SUM(N28+M29)</f>
        <v>106913.99999999997</v>
      </c>
      <c r="O29" s="3">
        <v>16957</v>
      </c>
      <c r="P29" s="53">
        <f>SUM(P28+O29)</f>
        <v>106914</v>
      </c>
      <c r="Q29" s="59">
        <v>226246.36</v>
      </c>
      <c r="R29" s="3">
        <f t="shared" si="18"/>
        <v>5656159</v>
      </c>
      <c r="S29" s="3">
        <f t="shared" si="7"/>
        <v>930075</v>
      </c>
      <c r="T29" s="3">
        <f t="shared" si="8"/>
        <v>5439179</v>
      </c>
      <c r="U29" s="60">
        <f>SUM(T29/R29)*100</f>
        <v>96.163827784897848</v>
      </c>
      <c r="V29" s="351">
        <v>4.6363636363636402</v>
      </c>
      <c r="W29" s="345"/>
      <c r="X29" s="345"/>
      <c r="Y29" s="342"/>
    </row>
    <row r="30" spans="1:25" x14ac:dyDescent="0.25">
      <c r="A30" s="69">
        <v>7</v>
      </c>
      <c r="B30" s="69">
        <v>2</v>
      </c>
      <c r="C30" s="70">
        <v>44927</v>
      </c>
      <c r="D30" s="70">
        <v>45016</v>
      </c>
      <c r="E30" s="263"/>
      <c r="F30" s="5"/>
      <c r="G30" s="5"/>
      <c r="H30" s="46"/>
      <c r="I30" s="262"/>
      <c r="J30" s="5"/>
      <c r="K30" s="6">
        <v>216980</v>
      </c>
      <c r="L30" s="45">
        <f t="shared" si="13"/>
        <v>5349245</v>
      </c>
      <c r="M30" s="262"/>
      <c r="N30" s="6">
        <f>SUM(N29+M30)</f>
        <v>106913.99999999997</v>
      </c>
      <c r="O30" s="6"/>
      <c r="P30" s="54">
        <f>SUM(P29+O30)</f>
        <v>106914</v>
      </c>
      <c r="Q30" s="262">
        <f>SUM(E30+I30+M30)</f>
        <v>0</v>
      </c>
      <c r="R30" s="6">
        <f>SUM(R29+Q30)</f>
        <v>5656159</v>
      </c>
      <c r="S30" s="6">
        <f>SUM(G30+K30+O30)</f>
        <v>216980</v>
      </c>
      <c r="T30" s="6">
        <f>SUM(T29+S30)</f>
        <v>5656159</v>
      </c>
      <c r="U30" s="61">
        <f>SUM(T30/R30)*100</f>
        <v>100</v>
      </c>
      <c r="V30" s="345"/>
      <c r="W30" s="345"/>
      <c r="X30" s="345"/>
      <c r="Y30" s="345"/>
    </row>
    <row r="31" spans="1:25" ht="15.75" thickBot="1" x14ac:dyDescent="0.3">
      <c r="A31" s="113"/>
      <c r="B31" s="113"/>
      <c r="C31" s="114"/>
      <c r="D31" s="115"/>
      <c r="E31" s="97">
        <f>SUM(Table1[Column5])</f>
        <v>200000</v>
      </c>
      <c r="F31" s="98" t="s">
        <v>71</v>
      </c>
      <c r="G31" s="98" t="s">
        <v>19</v>
      </c>
      <c r="H31" s="99">
        <f>SUM(E31-H29)</f>
        <v>0</v>
      </c>
      <c r="I31" s="111">
        <v>5349245</v>
      </c>
      <c r="J31" s="98" t="s">
        <v>71</v>
      </c>
      <c r="K31" s="98" t="s">
        <v>19</v>
      </c>
      <c r="L31" s="99">
        <f>SUM(I31-L30)</f>
        <v>0</v>
      </c>
      <c r="M31" s="111">
        <v>106914</v>
      </c>
      <c r="N31" s="98" t="s">
        <v>71</v>
      </c>
      <c r="O31" s="98" t="s">
        <v>19</v>
      </c>
      <c r="P31" s="99">
        <f>SUM(M31-P29)</f>
        <v>0</v>
      </c>
      <c r="Q31" s="309">
        <v>5656159</v>
      </c>
      <c r="R31" s="98" t="s">
        <v>71</v>
      </c>
      <c r="S31" s="98" t="s">
        <v>19</v>
      </c>
      <c r="T31" s="108">
        <f>SUM(Q31-T29)</f>
        <v>216980</v>
      </c>
      <c r="U31" s="109"/>
      <c r="V31" s="345">
        <f>SUM(V5:V30)</f>
        <v>102.00000000000006</v>
      </c>
      <c r="W31" s="345">
        <f t="shared" ref="W31:Y31" si="19">SUM(W5:W30)</f>
        <v>36</v>
      </c>
      <c r="X31" s="345">
        <f t="shared" si="19"/>
        <v>1</v>
      </c>
      <c r="Y31" s="345">
        <f t="shared" si="19"/>
        <v>1</v>
      </c>
    </row>
    <row r="32" spans="1:25" ht="15.75" thickTop="1" x14ac:dyDescent="0.25">
      <c r="A32" s="19"/>
      <c r="B32" s="19"/>
      <c r="C32" s="8"/>
      <c r="D32" s="8"/>
      <c r="E32" s="8"/>
      <c r="F32" s="8"/>
      <c r="G32" s="8"/>
      <c r="H32" s="8"/>
      <c r="I32" s="8"/>
      <c r="J32" s="8"/>
      <c r="K32" s="8"/>
      <c r="L32" s="8"/>
      <c r="M32" s="36"/>
      <c r="N32" s="8"/>
      <c r="O32" s="8"/>
      <c r="P32" s="8"/>
      <c r="R32" s="75"/>
      <c r="U32" s="10"/>
    </row>
    <row r="33" spans="1:21" x14ac:dyDescent="0.25">
      <c r="A33" s="19"/>
      <c r="B33" s="19"/>
      <c r="C33" s="375" t="s">
        <v>159</v>
      </c>
      <c r="D33" s="376">
        <v>44865</v>
      </c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U33" s="10"/>
    </row>
    <row r="34" spans="1:21" x14ac:dyDescent="0.25">
      <c r="A34" s="19"/>
      <c r="B34" s="19"/>
      <c r="C34" s="8" t="s">
        <v>166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U34" s="10"/>
    </row>
  </sheetData>
  <mergeCells count="6">
    <mergeCell ref="A1:U1"/>
    <mergeCell ref="A2:D2"/>
    <mergeCell ref="E2:H2"/>
    <mergeCell ref="I2:L2"/>
    <mergeCell ref="M2:P2"/>
    <mergeCell ref="Q2:T2"/>
  </mergeCells>
  <phoneticPr fontId="8" type="noConversion"/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30E97-2321-4C97-9A67-684AB3054637}">
  <dimension ref="A1:P31"/>
  <sheetViews>
    <sheetView zoomScale="55" zoomScaleNormal="55" workbookViewId="0">
      <selection activeCell="F24" sqref="F24"/>
    </sheetView>
  </sheetViews>
  <sheetFormatPr defaultColWidth="9.140625" defaultRowHeight="15" x14ac:dyDescent="0.25"/>
  <cols>
    <col min="1" max="1" width="12" style="14" customWidth="1"/>
    <col min="2" max="2" width="10.7109375" style="14" customWidth="1"/>
    <col min="3" max="3" width="17.5703125" style="14" customWidth="1"/>
    <col min="4" max="4" width="20.7109375" style="14" bestFit="1" customWidth="1"/>
    <col min="5" max="5" width="29.42578125" style="14" bestFit="1" customWidth="1"/>
    <col min="6" max="6" width="21.140625" style="14" customWidth="1"/>
    <col min="7" max="7" width="25.85546875" style="14" customWidth="1"/>
    <col min="8" max="8" width="24.28515625" style="14" bestFit="1" customWidth="1"/>
    <col min="9" max="9" width="22.140625" style="14" customWidth="1"/>
    <col min="10" max="10" width="27.42578125" style="14" bestFit="1" customWidth="1"/>
    <col min="11" max="11" width="20.28515625" style="14" customWidth="1"/>
    <col min="12" max="12" width="23.140625" style="14" customWidth="1"/>
    <col min="13" max="13" width="19.85546875" style="14" customWidth="1"/>
    <col min="14" max="14" width="20" style="14" customWidth="1"/>
    <col min="15" max="15" width="13" customWidth="1"/>
    <col min="16" max="16" width="15.5703125" customWidth="1"/>
    <col min="17" max="16384" width="9.140625" style="14"/>
  </cols>
  <sheetData>
    <row r="1" spans="1:16" ht="27" thickBot="1" x14ac:dyDescent="0.45">
      <c r="A1" s="426" t="s">
        <v>120</v>
      </c>
      <c r="B1" s="426"/>
      <c r="C1" s="426"/>
      <c r="D1" s="426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362"/>
      <c r="P1" s="362"/>
    </row>
    <row r="2" spans="1:16" ht="27" thickTop="1" x14ac:dyDescent="0.4">
      <c r="A2" s="424" t="s">
        <v>30</v>
      </c>
      <c r="B2" s="424"/>
      <c r="C2" s="424"/>
      <c r="D2" s="425"/>
      <c r="E2" s="428" t="s">
        <v>121</v>
      </c>
      <c r="F2" s="429"/>
      <c r="G2" s="429"/>
      <c r="H2" s="429"/>
      <c r="I2" s="430"/>
      <c r="J2" s="428" t="s">
        <v>122</v>
      </c>
      <c r="K2" s="429"/>
      <c r="L2" s="429"/>
      <c r="M2" s="429"/>
      <c r="N2" s="430"/>
      <c r="O2" s="361"/>
      <c r="P2" s="361"/>
    </row>
    <row r="3" spans="1:16" ht="78.75" x14ac:dyDescent="0.3">
      <c r="A3" s="156" t="s">
        <v>46</v>
      </c>
      <c r="B3" s="156" t="s">
        <v>47</v>
      </c>
      <c r="C3" s="156" t="s">
        <v>39</v>
      </c>
      <c r="D3" s="158" t="s">
        <v>40</v>
      </c>
      <c r="E3" s="161" t="s">
        <v>75</v>
      </c>
      <c r="F3" s="162" t="s">
        <v>114</v>
      </c>
      <c r="G3" s="162" t="s">
        <v>115</v>
      </c>
      <c r="H3" s="162" t="s">
        <v>116</v>
      </c>
      <c r="I3" s="163" t="s">
        <v>117</v>
      </c>
      <c r="J3" s="161" t="s">
        <v>75</v>
      </c>
      <c r="K3" s="162" t="s">
        <v>114</v>
      </c>
      <c r="L3" s="162" t="s">
        <v>115</v>
      </c>
      <c r="M3" s="162" t="s">
        <v>116</v>
      </c>
      <c r="N3" s="163" t="s">
        <v>117</v>
      </c>
      <c r="O3" s="364" t="s">
        <v>147</v>
      </c>
      <c r="P3" s="365" t="s">
        <v>148</v>
      </c>
    </row>
    <row r="4" spans="1:16" ht="26.25" x14ac:dyDescent="0.4">
      <c r="A4" s="156">
        <v>2016</v>
      </c>
      <c r="B4" s="156">
        <v>1</v>
      </c>
      <c r="C4" s="157">
        <v>42644</v>
      </c>
      <c r="D4" s="159">
        <v>42735</v>
      </c>
      <c r="E4" s="164">
        <v>91740</v>
      </c>
      <c r="F4" s="165">
        <f>E4</f>
        <v>91740</v>
      </c>
      <c r="G4" s="165">
        <v>0</v>
      </c>
      <c r="H4" s="165">
        <v>0</v>
      </c>
      <c r="I4" s="166">
        <f>SUM(H4/F4)*100</f>
        <v>0</v>
      </c>
      <c r="J4" s="164">
        <v>1453.3</v>
      </c>
      <c r="K4" s="165">
        <f>J4</f>
        <v>1453.3</v>
      </c>
      <c r="L4" s="165">
        <v>0</v>
      </c>
      <c r="M4" s="165">
        <v>0</v>
      </c>
      <c r="N4" s="363">
        <f>SUM(M4/K4)</f>
        <v>0</v>
      </c>
      <c r="O4" s="366">
        <v>0</v>
      </c>
      <c r="P4" s="367">
        <v>0</v>
      </c>
    </row>
    <row r="5" spans="1:16" ht="26.25" x14ac:dyDescent="0.4">
      <c r="A5" s="156">
        <v>2017</v>
      </c>
      <c r="B5" s="156">
        <v>1</v>
      </c>
      <c r="C5" s="157">
        <v>42736</v>
      </c>
      <c r="D5" s="159">
        <v>42825</v>
      </c>
      <c r="E5" s="164">
        <v>91740</v>
      </c>
      <c r="F5" s="167">
        <f>F4+E5</f>
        <v>183480</v>
      </c>
      <c r="G5" s="165">
        <v>24444</v>
      </c>
      <c r="H5" s="165">
        <f>SUM(H4+G5)</f>
        <v>24444</v>
      </c>
      <c r="I5" s="166">
        <f>SUM(H5/F5)*100</f>
        <v>13.322432962720733</v>
      </c>
      <c r="J5" s="164">
        <v>1453.3</v>
      </c>
      <c r="K5" s="167">
        <f>K4+J5</f>
        <v>2906.6</v>
      </c>
      <c r="L5" s="165">
        <v>33620</v>
      </c>
      <c r="M5" s="165">
        <f>SUM(M4+L5)</f>
        <v>33620</v>
      </c>
      <c r="N5" s="363">
        <f t="shared" ref="N5:N23" si="0">SUM(M5/K5)</f>
        <v>11.566779054565473</v>
      </c>
      <c r="O5" s="366">
        <v>0</v>
      </c>
      <c r="P5" s="367">
        <v>0</v>
      </c>
    </row>
    <row r="6" spans="1:16" ht="26.25" x14ac:dyDescent="0.4">
      <c r="A6" s="156">
        <v>2017</v>
      </c>
      <c r="B6" s="156">
        <v>2</v>
      </c>
      <c r="C6" s="157">
        <v>42826</v>
      </c>
      <c r="D6" s="159">
        <v>42916</v>
      </c>
      <c r="E6" s="164">
        <v>91740</v>
      </c>
      <c r="F6" s="167">
        <f t="shared" ref="F6:F23" si="1">F5+E6</f>
        <v>275220</v>
      </c>
      <c r="G6" s="165">
        <v>58367</v>
      </c>
      <c r="H6" s="165">
        <f t="shared" ref="H6:H22" si="2">SUM(H5+G6)</f>
        <v>82811</v>
      </c>
      <c r="I6" s="166">
        <f t="shared" ref="I6:I23" si="3">SUM(H6/F6)*100</f>
        <v>30.08901969333624</v>
      </c>
      <c r="J6" s="164">
        <v>1453.3</v>
      </c>
      <c r="K6" s="167">
        <f t="shared" ref="K6:K23" si="4">K5+J6</f>
        <v>4359.8999999999996</v>
      </c>
      <c r="L6" s="165">
        <v>-23622</v>
      </c>
      <c r="M6" s="165">
        <f t="shared" ref="M6:M7" si="5">SUM(M5+L6)</f>
        <v>9998</v>
      </c>
      <c r="N6" s="363">
        <f t="shared" si="0"/>
        <v>2.2931718617399484</v>
      </c>
      <c r="O6" s="366">
        <v>0</v>
      </c>
      <c r="P6" s="367">
        <v>0</v>
      </c>
    </row>
    <row r="7" spans="1:16" ht="26.25" x14ac:dyDescent="0.4">
      <c r="A7" s="156">
        <v>2017</v>
      </c>
      <c r="B7" s="156">
        <v>3</v>
      </c>
      <c r="C7" s="157">
        <v>42917</v>
      </c>
      <c r="D7" s="159">
        <v>43008</v>
      </c>
      <c r="E7" s="164">
        <v>91740</v>
      </c>
      <c r="F7" s="167">
        <f t="shared" si="1"/>
        <v>366960</v>
      </c>
      <c r="G7" s="165">
        <v>2147</v>
      </c>
      <c r="H7" s="165">
        <f t="shared" si="2"/>
        <v>84958</v>
      </c>
      <c r="I7" s="166">
        <f t="shared" si="3"/>
        <v>23.151842162633528</v>
      </c>
      <c r="J7" s="164">
        <v>1453.3</v>
      </c>
      <c r="K7" s="167">
        <f t="shared" si="4"/>
        <v>5813.2</v>
      </c>
      <c r="L7" s="165">
        <v>1907</v>
      </c>
      <c r="M7" s="165">
        <f t="shared" si="5"/>
        <v>11905</v>
      </c>
      <c r="N7" s="363">
        <f t="shared" si="0"/>
        <v>2.0479254111332827</v>
      </c>
      <c r="O7" s="366">
        <v>0</v>
      </c>
      <c r="P7" s="367">
        <v>0</v>
      </c>
    </row>
    <row r="8" spans="1:16" ht="26.25" x14ac:dyDescent="0.4">
      <c r="A8" s="156">
        <v>2017</v>
      </c>
      <c r="B8" s="156">
        <v>4</v>
      </c>
      <c r="C8" s="157">
        <v>43009</v>
      </c>
      <c r="D8" s="159">
        <v>43100</v>
      </c>
      <c r="E8" s="164">
        <v>91740</v>
      </c>
      <c r="F8" s="167">
        <f t="shared" si="1"/>
        <v>458700</v>
      </c>
      <c r="G8" s="165">
        <v>116873</v>
      </c>
      <c r="H8" s="165">
        <f>SUM(H7+G8)</f>
        <v>201831</v>
      </c>
      <c r="I8" s="166">
        <f t="shared" si="3"/>
        <v>44.000654022236759</v>
      </c>
      <c r="J8" s="164">
        <v>1453.3</v>
      </c>
      <c r="K8" s="167">
        <f t="shared" si="4"/>
        <v>7266.5</v>
      </c>
      <c r="L8" s="165">
        <v>3628</v>
      </c>
      <c r="M8" s="165">
        <f>SUM(M7+L8)</f>
        <v>15533</v>
      </c>
      <c r="N8" s="363">
        <f t="shared" si="0"/>
        <v>2.1376178352714512</v>
      </c>
      <c r="O8" s="366">
        <v>0</v>
      </c>
      <c r="P8" s="367">
        <v>0</v>
      </c>
    </row>
    <row r="9" spans="1:16" ht="26.25" x14ac:dyDescent="0.4">
      <c r="A9" s="156">
        <v>2018</v>
      </c>
      <c r="B9" s="156">
        <v>1</v>
      </c>
      <c r="C9" s="157">
        <v>43101</v>
      </c>
      <c r="D9" s="159">
        <v>43190</v>
      </c>
      <c r="E9" s="164">
        <v>91740</v>
      </c>
      <c r="F9" s="167">
        <f t="shared" si="1"/>
        <v>550440</v>
      </c>
      <c r="G9" s="165">
        <v>525096</v>
      </c>
      <c r="H9" s="165">
        <f t="shared" si="2"/>
        <v>726927</v>
      </c>
      <c r="I9" s="166">
        <f t="shared" si="3"/>
        <v>132.0628951384347</v>
      </c>
      <c r="J9" s="164">
        <v>1453.3</v>
      </c>
      <c r="K9" s="167">
        <f t="shared" si="4"/>
        <v>8719.7999999999993</v>
      </c>
      <c r="L9" s="165">
        <v>6278</v>
      </c>
      <c r="M9" s="165">
        <f t="shared" ref="M9:M11" si="6">SUM(M8+L9)</f>
        <v>21811</v>
      </c>
      <c r="N9" s="363">
        <f t="shared" si="0"/>
        <v>2.5013188375880184</v>
      </c>
      <c r="O9" s="366">
        <v>0</v>
      </c>
      <c r="P9" s="367">
        <v>0</v>
      </c>
    </row>
    <row r="10" spans="1:16" ht="26.25" x14ac:dyDescent="0.4">
      <c r="A10" s="156">
        <v>2018</v>
      </c>
      <c r="B10" s="156">
        <v>2</v>
      </c>
      <c r="C10" s="157">
        <v>43191</v>
      </c>
      <c r="D10" s="159">
        <v>43281</v>
      </c>
      <c r="E10" s="164">
        <v>91740</v>
      </c>
      <c r="F10" s="167">
        <f t="shared" si="1"/>
        <v>642180</v>
      </c>
      <c r="G10" s="165">
        <v>1107873</v>
      </c>
      <c r="H10" s="165">
        <f t="shared" si="2"/>
        <v>1834800</v>
      </c>
      <c r="I10" s="166">
        <f t="shared" si="3"/>
        <v>285.71428571428572</v>
      </c>
      <c r="J10" s="164">
        <v>1453.3</v>
      </c>
      <c r="K10" s="167">
        <f t="shared" si="4"/>
        <v>10173.099999999999</v>
      </c>
      <c r="L10" s="165">
        <v>5813</v>
      </c>
      <c r="M10" s="165">
        <f t="shared" si="6"/>
        <v>27624</v>
      </c>
      <c r="N10" s="363">
        <f t="shared" si="0"/>
        <v>2.7153964868132627</v>
      </c>
      <c r="O10" s="366">
        <v>0</v>
      </c>
      <c r="P10" s="367">
        <v>2</v>
      </c>
    </row>
    <row r="11" spans="1:16" ht="26.25" x14ac:dyDescent="0.4">
      <c r="A11" s="156">
        <v>2018</v>
      </c>
      <c r="B11" s="156">
        <v>3</v>
      </c>
      <c r="C11" s="157">
        <v>43282</v>
      </c>
      <c r="D11" s="159">
        <v>43373</v>
      </c>
      <c r="E11" s="164">
        <v>91740</v>
      </c>
      <c r="F11" s="167">
        <f t="shared" si="1"/>
        <v>733920</v>
      </c>
      <c r="G11" s="165">
        <v>0</v>
      </c>
      <c r="H11" s="165">
        <f t="shared" si="2"/>
        <v>1834800</v>
      </c>
      <c r="I11" s="166">
        <f t="shared" si="3"/>
        <v>250</v>
      </c>
      <c r="J11" s="164">
        <v>1453.3</v>
      </c>
      <c r="K11" s="167">
        <f t="shared" si="4"/>
        <v>11626.399999999998</v>
      </c>
      <c r="L11" s="165">
        <v>1442</v>
      </c>
      <c r="M11" s="165">
        <f t="shared" si="6"/>
        <v>29066</v>
      </c>
      <c r="N11" s="363">
        <f t="shared" si="0"/>
        <v>2.5000000000000004</v>
      </c>
      <c r="O11" s="366">
        <v>0</v>
      </c>
      <c r="P11" s="367">
        <v>0</v>
      </c>
    </row>
    <row r="12" spans="1:16" ht="26.25" x14ac:dyDescent="0.4">
      <c r="A12" s="156">
        <v>2018</v>
      </c>
      <c r="B12" s="156">
        <v>4</v>
      </c>
      <c r="C12" s="157">
        <v>43374</v>
      </c>
      <c r="D12" s="159">
        <v>43465</v>
      </c>
      <c r="E12" s="164">
        <v>91740</v>
      </c>
      <c r="F12" s="167">
        <f t="shared" si="1"/>
        <v>825660</v>
      </c>
      <c r="G12" s="165">
        <v>0</v>
      </c>
      <c r="H12" s="165">
        <f>SUM(H11+G12)</f>
        <v>1834800</v>
      </c>
      <c r="I12" s="166">
        <f t="shared" si="3"/>
        <v>222.22222222222223</v>
      </c>
      <c r="J12" s="164">
        <v>1453.3</v>
      </c>
      <c r="K12" s="167">
        <f t="shared" si="4"/>
        <v>13079.699999999997</v>
      </c>
      <c r="L12" s="165">
        <v>0</v>
      </c>
      <c r="M12" s="165">
        <f>SUM(M11+L12)</f>
        <v>29066</v>
      </c>
      <c r="N12" s="363">
        <f t="shared" si="0"/>
        <v>2.2222222222222228</v>
      </c>
      <c r="O12" s="366">
        <v>0</v>
      </c>
      <c r="P12" s="367">
        <v>0</v>
      </c>
    </row>
    <row r="13" spans="1:16" ht="26.25" x14ac:dyDescent="0.4">
      <c r="A13" s="156">
        <v>2019</v>
      </c>
      <c r="B13" s="156">
        <v>1</v>
      </c>
      <c r="C13" s="157">
        <v>43466</v>
      </c>
      <c r="D13" s="159">
        <v>43555</v>
      </c>
      <c r="E13" s="164">
        <v>91740</v>
      </c>
      <c r="F13" s="167">
        <f t="shared" si="1"/>
        <v>917400</v>
      </c>
      <c r="G13" s="165">
        <v>0</v>
      </c>
      <c r="H13" s="165">
        <f t="shared" si="2"/>
        <v>1834800</v>
      </c>
      <c r="I13" s="166">
        <f t="shared" si="3"/>
        <v>200</v>
      </c>
      <c r="J13" s="164">
        <v>1453.3</v>
      </c>
      <c r="K13" s="167">
        <f t="shared" si="4"/>
        <v>14532.999999999996</v>
      </c>
      <c r="L13" s="165">
        <v>0</v>
      </c>
      <c r="M13" s="165">
        <f t="shared" ref="M13:M22" si="7">SUM(M12+L13)</f>
        <v>29066</v>
      </c>
      <c r="N13" s="363">
        <f t="shared" si="0"/>
        <v>2.0000000000000004</v>
      </c>
      <c r="O13" s="366">
        <v>0</v>
      </c>
      <c r="P13" s="367">
        <v>0</v>
      </c>
    </row>
    <row r="14" spans="1:16" ht="26.25" x14ac:dyDescent="0.4">
      <c r="A14" s="156">
        <v>2019</v>
      </c>
      <c r="B14" s="156">
        <v>2</v>
      </c>
      <c r="C14" s="157">
        <v>43556</v>
      </c>
      <c r="D14" s="159">
        <v>43646</v>
      </c>
      <c r="E14" s="164">
        <v>91740</v>
      </c>
      <c r="F14" s="167">
        <f t="shared" si="1"/>
        <v>1009140</v>
      </c>
      <c r="G14" s="165">
        <v>0</v>
      </c>
      <c r="H14" s="165">
        <f t="shared" si="2"/>
        <v>1834800</v>
      </c>
      <c r="I14" s="166">
        <f t="shared" si="3"/>
        <v>181.81818181818181</v>
      </c>
      <c r="J14" s="164">
        <v>1453.3</v>
      </c>
      <c r="K14" s="167">
        <f t="shared" si="4"/>
        <v>15986.299999999996</v>
      </c>
      <c r="L14" s="165">
        <v>0</v>
      </c>
      <c r="M14" s="165">
        <f t="shared" si="7"/>
        <v>29066</v>
      </c>
      <c r="N14" s="363">
        <f t="shared" si="0"/>
        <v>1.8181818181818188</v>
      </c>
      <c r="O14" s="366">
        <v>0</v>
      </c>
      <c r="P14" s="367">
        <v>0</v>
      </c>
    </row>
    <row r="15" spans="1:16" ht="26.25" x14ac:dyDescent="0.4">
      <c r="A15" s="156">
        <v>2019</v>
      </c>
      <c r="B15" s="156">
        <v>3</v>
      </c>
      <c r="C15" s="157">
        <v>43653</v>
      </c>
      <c r="D15" s="159">
        <v>43738</v>
      </c>
      <c r="E15" s="164">
        <v>91740</v>
      </c>
      <c r="F15" s="167">
        <f t="shared" si="1"/>
        <v>1100880</v>
      </c>
      <c r="G15" s="165">
        <v>0</v>
      </c>
      <c r="H15" s="165">
        <f t="shared" si="2"/>
        <v>1834800</v>
      </c>
      <c r="I15" s="166">
        <f t="shared" si="3"/>
        <v>166.66666666666669</v>
      </c>
      <c r="J15" s="164">
        <v>1453.3</v>
      </c>
      <c r="K15" s="167">
        <f t="shared" si="4"/>
        <v>17439.599999999995</v>
      </c>
      <c r="L15" s="165">
        <v>0</v>
      </c>
      <c r="M15" s="165">
        <f t="shared" si="7"/>
        <v>29066</v>
      </c>
      <c r="N15" s="363">
        <f t="shared" si="0"/>
        <v>1.6666666666666672</v>
      </c>
      <c r="O15" s="366">
        <v>0</v>
      </c>
      <c r="P15" s="367">
        <v>0</v>
      </c>
    </row>
    <row r="16" spans="1:16" ht="26.25" x14ac:dyDescent="0.4">
      <c r="A16" s="156">
        <v>2019</v>
      </c>
      <c r="B16" s="156">
        <v>4</v>
      </c>
      <c r="C16" s="157">
        <v>43739</v>
      </c>
      <c r="D16" s="159">
        <v>43830</v>
      </c>
      <c r="E16" s="164">
        <v>91740</v>
      </c>
      <c r="F16" s="167">
        <f>F15+E16</f>
        <v>1192620</v>
      </c>
      <c r="G16" s="165">
        <v>0</v>
      </c>
      <c r="H16" s="165">
        <f>SUM(H15+G16)</f>
        <v>1834800</v>
      </c>
      <c r="I16" s="166">
        <f t="shared" si="3"/>
        <v>153.84615384615387</v>
      </c>
      <c r="J16" s="164">
        <v>1453.3</v>
      </c>
      <c r="K16" s="167">
        <f>K15+J16</f>
        <v>18892.899999999994</v>
      </c>
      <c r="L16" s="165">
        <v>0</v>
      </c>
      <c r="M16" s="165">
        <f>SUM(M15+L16)</f>
        <v>29066</v>
      </c>
      <c r="N16" s="363">
        <f t="shared" si="0"/>
        <v>1.538461538461539</v>
      </c>
      <c r="O16" s="366">
        <v>0</v>
      </c>
      <c r="P16" s="367">
        <v>0</v>
      </c>
    </row>
    <row r="17" spans="1:16" ht="26.25" x14ac:dyDescent="0.4">
      <c r="A17" s="156">
        <v>2020</v>
      </c>
      <c r="B17" s="156">
        <v>1</v>
      </c>
      <c r="C17" s="157">
        <v>43831</v>
      </c>
      <c r="D17" s="159">
        <v>43921</v>
      </c>
      <c r="E17" s="164">
        <v>91740</v>
      </c>
      <c r="F17" s="167">
        <f t="shared" si="1"/>
        <v>1284360</v>
      </c>
      <c r="G17" s="165">
        <v>0</v>
      </c>
      <c r="H17" s="165">
        <f t="shared" si="2"/>
        <v>1834800</v>
      </c>
      <c r="I17" s="166">
        <f t="shared" si="3"/>
        <v>142.85714285714286</v>
      </c>
      <c r="J17" s="164">
        <v>1453.3</v>
      </c>
      <c r="K17" s="167">
        <f t="shared" si="4"/>
        <v>20346.199999999993</v>
      </c>
      <c r="L17" s="165">
        <v>0</v>
      </c>
      <c r="M17" s="165">
        <f t="shared" si="7"/>
        <v>29066</v>
      </c>
      <c r="N17" s="363">
        <f t="shared" si="0"/>
        <v>1.428571428571429</v>
      </c>
      <c r="O17" s="366">
        <v>0</v>
      </c>
      <c r="P17" s="367">
        <v>0</v>
      </c>
    </row>
    <row r="18" spans="1:16" ht="26.25" x14ac:dyDescent="0.4">
      <c r="A18" s="156">
        <v>2020</v>
      </c>
      <c r="B18" s="156">
        <v>2</v>
      </c>
      <c r="C18" s="157">
        <v>43922</v>
      </c>
      <c r="D18" s="159">
        <v>44012</v>
      </c>
      <c r="E18" s="164">
        <v>91740</v>
      </c>
      <c r="F18" s="167">
        <f t="shared" si="1"/>
        <v>1376100</v>
      </c>
      <c r="G18" s="165">
        <v>0</v>
      </c>
      <c r="H18" s="165">
        <f t="shared" si="2"/>
        <v>1834800</v>
      </c>
      <c r="I18" s="166">
        <f>SUM(H18/F18)*100</f>
        <v>133.33333333333331</v>
      </c>
      <c r="J18" s="164">
        <v>1453.3</v>
      </c>
      <c r="K18" s="167">
        <f t="shared" si="4"/>
        <v>21799.499999999993</v>
      </c>
      <c r="L18" s="165">
        <v>0</v>
      </c>
      <c r="M18" s="165">
        <f t="shared" si="7"/>
        <v>29066</v>
      </c>
      <c r="N18" s="363">
        <f t="shared" si="0"/>
        <v>1.3333333333333337</v>
      </c>
      <c r="O18" s="366">
        <v>0</v>
      </c>
      <c r="P18" s="367">
        <v>0</v>
      </c>
    </row>
    <row r="19" spans="1:16" ht="26.25" x14ac:dyDescent="0.4">
      <c r="A19" s="156">
        <v>2020</v>
      </c>
      <c r="B19" s="156">
        <v>3</v>
      </c>
      <c r="C19" s="157">
        <v>44013</v>
      </c>
      <c r="D19" s="159">
        <v>44104</v>
      </c>
      <c r="E19" s="164">
        <v>91740</v>
      </c>
      <c r="F19" s="167">
        <f t="shared" si="1"/>
        <v>1467840</v>
      </c>
      <c r="G19" s="165">
        <v>0</v>
      </c>
      <c r="H19" s="165">
        <f t="shared" si="2"/>
        <v>1834800</v>
      </c>
      <c r="I19" s="166">
        <f t="shared" si="3"/>
        <v>125</v>
      </c>
      <c r="J19" s="164">
        <v>1453.3</v>
      </c>
      <c r="K19" s="167">
        <f t="shared" si="4"/>
        <v>23252.799999999992</v>
      </c>
      <c r="L19" s="165">
        <v>0</v>
      </c>
      <c r="M19" s="165">
        <f t="shared" si="7"/>
        <v>29066</v>
      </c>
      <c r="N19" s="363">
        <f t="shared" si="0"/>
        <v>1.2500000000000004</v>
      </c>
      <c r="O19" s="366">
        <v>0</v>
      </c>
      <c r="P19" s="367">
        <v>0</v>
      </c>
    </row>
    <row r="20" spans="1:16" ht="26.25" x14ac:dyDescent="0.4">
      <c r="A20" s="156">
        <v>2020</v>
      </c>
      <c r="B20" s="156">
        <v>4</v>
      </c>
      <c r="C20" s="157">
        <v>44105</v>
      </c>
      <c r="D20" s="159">
        <v>44196</v>
      </c>
      <c r="E20" s="164">
        <v>91740</v>
      </c>
      <c r="F20" s="167">
        <f t="shared" si="1"/>
        <v>1559580</v>
      </c>
      <c r="G20" s="165">
        <v>0</v>
      </c>
      <c r="H20" s="165">
        <f t="shared" si="2"/>
        <v>1834800</v>
      </c>
      <c r="I20" s="166">
        <f t="shared" si="3"/>
        <v>117.64705882352942</v>
      </c>
      <c r="J20" s="164">
        <v>1453.3</v>
      </c>
      <c r="K20" s="167">
        <f t="shared" si="4"/>
        <v>24706.099999999991</v>
      </c>
      <c r="L20" s="165">
        <v>0</v>
      </c>
      <c r="M20" s="165">
        <f t="shared" si="7"/>
        <v>29066</v>
      </c>
      <c r="N20" s="363">
        <f t="shared" si="0"/>
        <v>1.1764705882352946</v>
      </c>
      <c r="O20" s="366">
        <v>0</v>
      </c>
      <c r="P20" s="367">
        <v>0</v>
      </c>
    </row>
    <row r="21" spans="1:16" ht="26.25" x14ac:dyDescent="0.4">
      <c r="A21" s="156">
        <v>2021</v>
      </c>
      <c r="B21" s="156">
        <v>1</v>
      </c>
      <c r="C21" s="157">
        <v>44197</v>
      </c>
      <c r="D21" s="159">
        <v>44286</v>
      </c>
      <c r="E21" s="164">
        <v>91740</v>
      </c>
      <c r="F21" s="167">
        <f t="shared" si="1"/>
        <v>1651320</v>
      </c>
      <c r="G21" s="165">
        <v>0</v>
      </c>
      <c r="H21" s="165">
        <f t="shared" si="2"/>
        <v>1834800</v>
      </c>
      <c r="I21" s="166">
        <f t="shared" si="3"/>
        <v>111.11111111111111</v>
      </c>
      <c r="J21" s="164">
        <v>1453.3</v>
      </c>
      <c r="K21" s="167">
        <f t="shared" si="4"/>
        <v>26159.399999999991</v>
      </c>
      <c r="L21" s="165">
        <v>0</v>
      </c>
      <c r="M21" s="165">
        <f t="shared" si="7"/>
        <v>29066</v>
      </c>
      <c r="N21" s="363">
        <f t="shared" si="0"/>
        <v>1.1111111111111116</v>
      </c>
      <c r="O21" s="366">
        <v>0</v>
      </c>
      <c r="P21" s="367">
        <v>0</v>
      </c>
    </row>
    <row r="22" spans="1:16" ht="26.25" x14ac:dyDescent="0.4">
      <c r="A22" s="156">
        <v>2021</v>
      </c>
      <c r="B22" s="156">
        <v>2</v>
      </c>
      <c r="C22" s="157">
        <v>44287</v>
      </c>
      <c r="D22" s="159">
        <v>44377</v>
      </c>
      <c r="E22" s="164">
        <v>91740</v>
      </c>
      <c r="F22" s="167">
        <f t="shared" si="1"/>
        <v>1743060</v>
      </c>
      <c r="G22" s="165">
        <v>0</v>
      </c>
      <c r="H22" s="165">
        <f t="shared" si="2"/>
        <v>1834800</v>
      </c>
      <c r="I22" s="166">
        <f t="shared" si="3"/>
        <v>105.26315789473684</v>
      </c>
      <c r="J22" s="164">
        <v>1453.3</v>
      </c>
      <c r="K22" s="167">
        <f t="shared" si="4"/>
        <v>27612.69999999999</v>
      </c>
      <c r="L22" s="165">
        <v>0</v>
      </c>
      <c r="M22" s="165">
        <f t="shared" si="7"/>
        <v>29066</v>
      </c>
      <c r="N22" s="363">
        <f t="shared" si="0"/>
        <v>1.0526315789473688</v>
      </c>
      <c r="O22" s="366">
        <v>0</v>
      </c>
      <c r="P22" s="367">
        <v>0</v>
      </c>
    </row>
    <row r="23" spans="1:16" ht="26.25" x14ac:dyDescent="0.4">
      <c r="A23" s="156">
        <v>2021</v>
      </c>
      <c r="B23" s="156">
        <v>3</v>
      </c>
      <c r="C23" s="157">
        <v>44378</v>
      </c>
      <c r="D23" s="159">
        <v>44469</v>
      </c>
      <c r="E23" s="164">
        <v>91740</v>
      </c>
      <c r="F23" s="167">
        <f t="shared" si="1"/>
        <v>1834800</v>
      </c>
      <c r="G23" s="165">
        <v>0</v>
      </c>
      <c r="H23" s="165">
        <f>SUM(H22+G23)</f>
        <v>1834800</v>
      </c>
      <c r="I23" s="166">
        <f t="shared" si="3"/>
        <v>100</v>
      </c>
      <c r="J23" s="164">
        <v>1453.3</v>
      </c>
      <c r="K23" s="167">
        <f t="shared" si="4"/>
        <v>29065.999999999989</v>
      </c>
      <c r="L23" s="165">
        <v>0</v>
      </c>
      <c r="M23" s="165">
        <f>SUM(M22+L23)</f>
        <v>29066</v>
      </c>
      <c r="N23" s="363">
        <f t="shared" si="0"/>
        <v>1.0000000000000004</v>
      </c>
      <c r="O23" s="368">
        <v>2</v>
      </c>
      <c r="P23" s="367">
        <v>0</v>
      </c>
    </row>
    <row r="24" spans="1:16" ht="26.25" x14ac:dyDescent="0.4">
      <c r="A24" s="156">
        <v>2021</v>
      </c>
      <c r="B24" s="156">
        <v>4</v>
      </c>
      <c r="C24" s="157">
        <v>44470</v>
      </c>
      <c r="D24" s="159">
        <v>44561</v>
      </c>
      <c r="E24" s="164"/>
      <c r="F24" s="167"/>
      <c r="G24" s="165"/>
      <c r="H24" s="165"/>
      <c r="I24" s="166"/>
      <c r="J24" s="164"/>
      <c r="K24" s="167"/>
      <c r="L24" s="165"/>
      <c r="M24" s="165"/>
      <c r="N24" s="166"/>
      <c r="O24" s="368"/>
      <c r="P24" s="367"/>
    </row>
    <row r="25" spans="1:16" ht="26.25" x14ac:dyDescent="0.4">
      <c r="A25" s="156">
        <v>2022</v>
      </c>
      <c r="B25" s="156">
        <v>1</v>
      </c>
      <c r="C25" s="157">
        <v>44562</v>
      </c>
      <c r="D25" s="159">
        <v>44651</v>
      </c>
      <c r="E25" s="164"/>
      <c r="F25" s="167"/>
      <c r="G25" s="165"/>
      <c r="H25" s="165"/>
      <c r="I25" s="166"/>
      <c r="J25" s="164"/>
      <c r="K25" s="167"/>
      <c r="L25" s="165"/>
      <c r="M25" s="165"/>
      <c r="N25" s="166"/>
      <c r="O25" s="368"/>
      <c r="P25" s="367"/>
    </row>
    <row r="26" spans="1:16" ht="26.25" x14ac:dyDescent="0.4">
      <c r="A26" s="156">
        <v>2022</v>
      </c>
      <c r="B26" s="156">
        <v>2</v>
      </c>
      <c r="C26" s="157">
        <v>44652</v>
      </c>
      <c r="D26" s="159">
        <v>44742</v>
      </c>
      <c r="E26" s="164"/>
      <c r="F26" s="167"/>
      <c r="G26" s="165"/>
      <c r="H26" s="165"/>
      <c r="I26" s="166"/>
      <c r="J26" s="164"/>
      <c r="K26" s="167"/>
      <c r="L26" s="165"/>
      <c r="M26" s="165"/>
      <c r="N26" s="166"/>
      <c r="O26" s="368"/>
      <c r="P26" s="367"/>
    </row>
    <row r="27" spans="1:16" ht="26.25" x14ac:dyDescent="0.4">
      <c r="A27" s="156">
        <v>2022</v>
      </c>
      <c r="B27" s="156">
        <v>3</v>
      </c>
      <c r="C27" s="157">
        <v>44743</v>
      </c>
      <c r="D27" s="159">
        <v>44834</v>
      </c>
      <c r="E27" s="164"/>
      <c r="F27" s="167"/>
      <c r="G27" s="165"/>
      <c r="H27" s="165"/>
      <c r="I27" s="166"/>
      <c r="J27" s="164"/>
      <c r="K27" s="167"/>
      <c r="L27" s="165"/>
      <c r="M27" s="165"/>
      <c r="N27" s="166"/>
      <c r="O27" s="368"/>
      <c r="P27" s="367"/>
    </row>
    <row r="28" spans="1:16" ht="26.25" x14ac:dyDescent="0.4">
      <c r="A28" s="156">
        <v>2022</v>
      </c>
      <c r="B28" s="156">
        <v>4</v>
      </c>
      <c r="C28" s="157">
        <v>44835</v>
      </c>
      <c r="D28" s="159">
        <v>44926</v>
      </c>
      <c r="E28" s="164"/>
      <c r="F28" s="167"/>
      <c r="G28" s="165"/>
      <c r="H28" s="165"/>
      <c r="I28" s="166"/>
      <c r="J28" s="164"/>
      <c r="K28" s="167"/>
      <c r="L28" s="165"/>
      <c r="M28" s="165"/>
      <c r="N28" s="166"/>
      <c r="O28" s="368"/>
      <c r="P28" s="369"/>
    </row>
    <row r="29" spans="1:16" ht="26.25" x14ac:dyDescent="0.4">
      <c r="A29" s="156">
        <v>2023</v>
      </c>
      <c r="B29" s="156">
        <v>1</v>
      </c>
      <c r="C29" s="157">
        <v>44927</v>
      </c>
      <c r="D29" s="159">
        <v>45016</v>
      </c>
      <c r="E29" s="164"/>
      <c r="F29" s="167"/>
      <c r="G29" s="165"/>
      <c r="H29" s="165"/>
      <c r="I29" s="166"/>
      <c r="J29" s="164"/>
      <c r="K29" s="167"/>
      <c r="L29" s="165"/>
      <c r="M29" s="165"/>
      <c r="N29" s="166"/>
      <c r="O29" s="369"/>
      <c r="P29" s="369"/>
    </row>
    <row r="30" spans="1:16" ht="27" thickBot="1" x14ac:dyDescent="0.45">
      <c r="A30" s="27"/>
      <c r="B30" s="27"/>
      <c r="C30" s="28"/>
      <c r="D30" s="160"/>
      <c r="E30" s="168">
        <f>SUM(E4:E23)</f>
        <v>1834800</v>
      </c>
      <c r="F30" s="171" t="s">
        <v>71</v>
      </c>
      <c r="G30" s="169"/>
      <c r="H30" s="169">
        <f>H23-E30</f>
        <v>0</v>
      </c>
      <c r="I30" s="170" t="s">
        <v>19</v>
      </c>
      <c r="J30" s="168">
        <f>SUM(J4:J23)</f>
        <v>29065.999999999989</v>
      </c>
      <c r="K30" s="171" t="s">
        <v>71</v>
      </c>
      <c r="L30" s="169">
        <f>SUM(L3:L23)</f>
        <v>29066</v>
      </c>
      <c r="M30" s="169">
        <f>M23-L30</f>
        <v>0</v>
      </c>
      <c r="N30" s="170" t="s">
        <v>19</v>
      </c>
      <c r="O30" s="369">
        <f>SUM(O4:O29)</f>
        <v>2</v>
      </c>
      <c r="P30" s="369">
        <f t="shared" ref="P30" si="8">SUM(P4:P29)</f>
        <v>2</v>
      </c>
    </row>
    <row r="31" spans="1:16" ht="15.75" thickTop="1" x14ac:dyDescent="0.25"/>
  </sheetData>
  <mergeCells count="4">
    <mergeCell ref="A2:D2"/>
    <mergeCell ref="A1:N1"/>
    <mergeCell ref="E2:I2"/>
    <mergeCell ref="J2:N2"/>
  </mergeCells>
  <pageMargins left="0.7" right="0.7" top="0.75" bottom="0.75" header="0.3" footer="0.3"/>
  <pageSetup scale="75" fitToHeight="0" orientation="landscape" horizont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97B1E-9357-4E99-B22E-99F021A09083}">
  <dimension ref="A1:W35"/>
  <sheetViews>
    <sheetView tabSelected="1" zoomScale="50" zoomScaleNormal="50" workbookViewId="0">
      <selection activeCell="F33" sqref="F33"/>
    </sheetView>
  </sheetViews>
  <sheetFormatPr defaultColWidth="9.140625" defaultRowHeight="15" x14ac:dyDescent="0.25"/>
  <cols>
    <col min="1" max="1" width="12" style="14" customWidth="1"/>
    <col min="2" max="2" width="10.7109375" style="14" customWidth="1"/>
    <col min="3" max="3" width="19" style="14" bestFit="1" customWidth="1"/>
    <col min="4" max="4" width="20.7109375" style="14" bestFit="1" customWidth="1"/>
    <col min="5" max="5" width="29.42578125" style="14" bestFit="1" customWidth="1"/>
    <col min="6" max="6" width="33" style="14" bestFit="1" customWidth="1"/>
    <col min="7" max="7" width="25.85546875" style="14" customWidth="1"/>
    <col min="8" max="8" width="24.28515625" style="14" bestFit="1" customWidth="1"/>
    <col min="9" max="9" width="22.140625" style="14" customWidth="1"/>
    <col min="10" max="10" width="29.42578125" style="14" bestFit="1" customWidth="1"/>
    <col min="11" max="11" width="26.5703125" style="14" customWidth="1"/>
    <col min="12" max="12" width="24.140625" style="14" customWidth="1"/>
    <col min="13" max="14" width="24.42578125" style="14" bestFit="1" customWidth="1"/>
    <col min="15" max="15" width="29.42578125" style="14" bestFit="1" customWidth="1"/>
    <col min="16" max="17" width="19.28515625" style="14" bestFit="1" customWidth="1"/>
    <col min="18" max="18" width="18.7109375" style="14" bestFit="1" customWidth="1"/>
    <col min="19" max="19" width="24.42578125" style="14" bestFit="1" customWidth="1"/>
    <col min="20" max="20" width="13" customWidth="1"/>
    <col min="21" max="21" width="15.5703125" customWidth="1"/>
    <col min="22" max="22" width="16.140625" customWidth="1"/>
    <col min="23" max="23" width="15.5703125" customWidth="1"/>
    <col min="24" max="16384" width="9.140625" style="14"/>
  </cols>
  <sheetData>
    <row r="1" spans="1:23" ht="27" thickBot="1" x14ac:dyDescent="0.45">
      <c r="A1" s="426" t="s">
        <v>123</v>
      </c>
      <c r="B1" s="426"/>
      <c r="C1" s="426"/>
      <c r="D1" s="426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  <c r="P1" s="427"/>
      <c r="Q1" s="427"/>
      <c r="R1" s="427"/>
      <c r="S1" s="427"/>
      <c r="T1" s="362"/>
      <c r="U1" s="362"/>
      <c r="V1" s="362"/>
      <c r="W1" s="362"/>
    </row>
    <row r="2" spans="1:23" ht="27" thickTop="1" x14ac:dyDescent="0.4">
      <c r="A2" s="424" t="s">
        <v>30</v>
      </c>
      <c r="B2" s="424"/>
      <c r="C2" s="424"/>
      <c r="D2" s="425"/>
      <c r="E2" s="431" t="s">
        <v>124</v>
      </c>
      <c r="F2" s="432"/>
      <c r="G2" s="432"/>
      <c r="H2" s="432"/>
      <c r="I2" s="433"/>
      <c r="J2" s="431" t="s">
        <v>125</v>
      </c>
      <c r="K2" s="432"/>
      <c r="L2" s="432"/>
      <c r="M2" s="432"/>
      <c r="N2" s="433"/>
      <c r="O2" s="431" t="s">
        <v>126</v>
      </c>
      <c r="P2" s="432"/>
      <c r="Q2" s="432"/>
      <c r="R2" s="432"/>
      <c r="S2" s="433"/>
      <c r="T2" s="361"/>
      <c r="U2" s="361"/>
      <c r="V2" s="361"/>
      <c r="W2" s="361"/>
    </row>
    <row r="3" spans="1:23" ht="105" customHeight="1" x14ac:dyDescent="0.3">
      <c r="A3" s="156" t="s">
        <v>46</v>
      </c>
      <c r="B3" s="156" t="s">
        <v>47</v>
      </c>
      <c r="C3" s="156" t="s">
        <v>39</v>
      </c>
      <c r="D3" s="158" t="s">
        <v>40</v>
      </c>
      <c r="E3" s="172" t="s">
        <v>75</v>
      </c>
      <c r="F3" s="156" t="s">
        <v>114</v>
      </c>
      <c r="G3" s="156" t="s">
        <v>115</v>
      </c>
      <c r="H3" s="156" t="s">
        <v>116</v>
      </c>
      <c r="I3" s="173" t="s">
        <v>117</v>
      </c>
      <c r="J3" s="172" t="s">
        <v>75</v>
      </c>
      <c r="K3" s="156" t="s">
        <v>114</v>
      </c>
      <c r="L3" s="156" t="s">
        <v>115</v>
      </c>
      <c r="M3" s="156" t="s">
        <v>116</v>
      </c>
      <c r="N3" s="173" t="s">
        <v>117</v>
      </c>
      <c r="O3" s="172" t="s">
        <v>75</v>
      </c>
      <c r="P3" s="156" t="s">
        <v>114</v>
      </c>
      <c r="Q3" s="156" t="s">
        <v>115</v>
      </c>
      <c r="R3" s="156" t="s">
        <v>116</v>
      </c>
      <c r="S3" s="173" t="s">
        <v>117</v>
      </c>
      <c r="T3" s="364" t="s">
        <v>147</v>
      </c>
      <c r="U3" s="365" t="s">
        <v>148</v>
      </c>
      <c r="V3" s="364" t="s">
        <v>149</v>
      </c>
      <c r="W3" s="365" t="s">
        <v>150</v>
      </c>
    </row>
    <row r="4" spans="1:23" ht="26.25" x14ac:dyDescent="0.4">
      <c r="A4" s="156">
        <v>1</v>
      </c>
      <c r="B4" s="156">
        <v>1</v>
      </c>
      <c r="C4" s="157">
        <v>42644</v>
      </c>
      <c r="D4" s="159">
        <v>42735</v>
      </c>
      <c r="E4" s="174">
        <v>1554.4782608695652</v>
      </c>
      <c r="F4" s="154">
        <f>E4</f>
        <v>1554.4782608695652</v>
      </c>
      <c r="G4" s="154">
        <v>0</v>
      </c>
      <c r="H4" s="154">
        <v>0</v>
      </c>
      <c r="I4" s="175">
        <f>SUM(H4/F4)*100</f>
        <v>0</v>
      </c>
      <c r="J4" s="174">
        <v>1081230.2173913044</v>
      </c>
      <c r="K4" s="154">
        <f>J4</f>
        <v>1081230.2173913044</v>
      </c>
      <c r="L4" s="154">
        <v>0</v>
      </c>
      <c r="M4" s="154">
        <f>L4</f>
        <v>0</v>
      </c>
      <c r="N4" s="175">
        <f>SUM(M4/K4)*100</f>
        <v>0</v>
      </c>
      <c r="O4" s="174">
        <v>6847.739130434783</v>
      </c>
      <c r="P4" s="154">
        <f>O4</f>
        <v>6847.739130434783</v>
      </c>
      <c r="Q4" s="154">
        <v>0</v>
      </c>
      <c r="R4" s="154">
        <v>0</v>
      </c>
      <c r="S4" s="175">
        <f>SUM(R4/P4)*100</f>
        <v>0</v>
      </c>
      <c r="T4" s="366">
        <v>0</v>
      </c>
      <c r="U4" s="367">
        <v>0</v>
      </c>
      <c r="V4" s="366">
        <v>0</v>
      </c>
      <c r="W4" s="367">
        <v>0</v>
      </c>
    </row>
    <row r="5" spans="1:23" ht="26.25" x14ac:dyDescent="0.4">
      <c r="A5" s="156">
        <v>2017</v>
      </c>
      <c r="B5" s="156">
        <v>1</v>
      </c>
      <c r="C5" s="157">
        <v>42736</v>
      </c>
      <c r="D5" s="159">
        <v>42825</v>
      </c>
      <c r="E5" s="174">
        <v>1554.4782608695652</v>
      </c>
      <c r="F5" s="155">
        <f>F4+E5</f>
        <v>3108.9565217391305</v>
      </c>
      <c r="G5" s="154">
        <v>35753</v>
      </c>
      <c r="H5" s="154">
        <f>SUM(H4+G5)</f>
        <v>35753</v>
      </c>
      <c r="I5" s="175">
        <f>SUM(H5/F5)*100</f>
        <v>1150</v>
      </c>
      <c r="J5" s="174">
        <v>1081230.2173913044</v>
      </c>
      <c r="K5" s="155">
        <f>K4+J5</f>
        <v>2162460.4347826089</v>
      </c>
      <c r="L5" s="154">
        <v>0</v>
      </c>
      <c r="M5" s="154">
        <f>M4+L5</f>
        <v>0</v>
      </c>
      <c r="N5" s="175">
        <f>SUM(M5/K5)*100</f>
        <v>0</v>
      </c>
      <c r="O5" s="174">
        <v>6847.739130434783</v>
      </c>
      <c r="P5" s="155">
        <f>P4+O5</f>
        <v>13695.478260869566</v>
      </c>
      <c r="Q5" s="154">
        <v>11412</v>
      </c>
      <c r="R5" s="154">
        <f>SUM(R4+Q5)</f>
        <v>11412</v>
      </c>
      <c r="S5" s="175">
        <f>SUM(R5/P5)*100</f>
        <v>83.326772403459088</v>
      </c>
      <c r="T5" s="366">
        <v>0</v>
      </c>
      <c r="U5" s="367">
        <v>0</v>
      </c>
      <c r="V5" s="366">
        <v>0</v>
      </c>
      <c r="W5" s="367">
        <v>0</v>
      </c>
    </row>
    <row r="6" spans="1:23" ht="26.25" x14ac:dyDescent="0.4">
      <c r="A6" s="156">
        <v>2017</v>
      </c>
      <c r="B6" s="156">
        <v>2</v>
      </c>
      <c r="C6" s="157">
        <v>42826</v>
      </c>
      <c r="D6" s="159">
        <v>42916</v>
      </c>
      <c r="E6" s="174">
        <v>1554.4782608695652</v>
      </c>
      <c r="F6" s="155">
        <f t="shared" ref="F6:F26" si="0">F5+E6</f>
        <v>4663.434782608696</v>
      </c>
      <c r="G6" s="154">
        <v>0</v>
      </c>
      <c r="H6" s="154">
        <f t="shared" ref="H6:H22" si="1">SUM(H5+G6)</f>
        <v>35753</v>
      </c>
      <c r="I6" s="175">
        <f t="shared" ref="I6:I26" si="2">SUM(H6/F6)*100</f>
        <v>766.66666666666663</v>
      </c>
      <c r="J6" s="174">
        <v>1081230.2173913044</v>
      </c>
      <c r="K6" s="155">
        <f t="shared" ref="K6:K26" si="3">K5+J6</f>
        <v>3243690.6521739131</v>
      </c>
      <c r="L6" s="154">
        <v>90861</v>
      </c>
      <c r="M6" s="154">
        <f t="shared" ref="M6:M26" si="4">M5+L6</f>
        <v>90861</v>
      </c>
      <c r="N6" s="175">
        <f t="shared" ref="N6:N26" si="5">SUM(M6/K6)*100</f>
        <v>2.8011610767847173</v>
      </c>
      <c r="O6" s="174">
        <v>6847.739130434783</v>
      </c>
      <c r="P6" s="155">
        <f t="shared" ref="P6:P26" si="6">P5+O6</f>
        <v>20543.217391304348</v>
      </c>
      <c r="Q6" s="154">
        <v>13889</v>
      </c>
      <c r="R6" s="154">
        <f t="shared" ref="R6:R7" si="7">SUM(R5+Q6)</f>
        <v>25301</v>
      </c>
      <c r="S6" s="175">
        <f t="shared" ref="S6:S26" si="8">SUM(R6/P6)*100</f>
        <v>123.15987081317434</v>
      </c>
      <c r="T6" s="366">
        <v>0</v>
      </c>
      <c r="U6" s="367">
        <v>0</v>
      </c>
      <c r="V6" s="366">
        <v>1</v>
      </c>
      <c r="W6" s="367">
        <v>1</v>
      </c>
    </row>
    <row r="7" spans="1:23" ht="26.25" x14ac:dyDescent="0.4">
      <c r="A7" s="156">
        <v>2017</v>
      </c>
      <c r="B7" s="156">
        <v>3</v>
      </c>
      <c r="C7" s="157">
        <v>42917</v>
      </c>
      <c r="D7" s="159">
        <v>43008</v>
      </c>
      <c r="E7" s="174">
        <v>1554.4782608695652</v>
      </c>
      <c r="F7" s="155">
        <f t="shared" si="0"/>
        <v>6217.913043478261</v>
      </c>
      <c r="G7" s="154">
        <v>0</v>
      </c>
      <c r="H7" s="154">
        <f t="shared" si="1"/>
        <v>35753</v>
      </c>
      <c r="I7" s="175">
        <f t="shared" si="2"/>
        <v>575</v>
      </c>
      <c r="J7" s="174">
        <v>1081230.2173913044</v>
      </c>
      <c r="K7" s="155">
        <f t="shared" si="3"/>
        <v>4324920.8695652178</v>
      </c>
      <c r="L7" s="154">
        <v>77942</v>
      </c>
      <c r="M7" s="154">
        <f t="shared" si="4"/>
        <v>168803</v>
      </c>
      <c r="N7" s="175">
        <f t="shared" si="5"/>
        <v>3.903030947638348</v>
      </c>
      <c r="O7" s="174">
        <v>6847.739130434783</v>
      </c>
      <c r="P7" s="155">
        <f t="shared" si="6"/>
        <v>27390.956521739132</v>
      </c>
      <c r="Q7" s="154">
        <v>3988</v>
      </c>
      <c r="R7" s="154">
        <f t="shared" si="7"/>
        <v>29289</v>
      </c>
      <c r="S7" s="175">
        <f t="shared" si="8"/>
        <v>106.92945307241996</v>
      </c>
      <c r="T7" s="366">
        <v>0</v>
      </c>
      <c r="U7" s="367">
        <v>0</v>
      </c>
      <c r="V7" s="366">
        <v>0</v>
      </c>
      <c r="W7" s="367">
        <v>0</v>
      </c>
    </row>
    <row r="8" spans="1:23" ht="26.25" x14ac:dyDescent="0.4">
      <c r="A8" s="156">
        <v>2017</v>
      </c>
      <c r="B8" s="156">
        <v>4</v>
      </c>
      <c r="C8" s="157">
        <v>43009</v>
      </c>
      <c r="D8" s="159">
        <v>43100</v>
      </c>
      <c r="E8" s="174">
        <v>1554.4782608695652</v>
      </c>
      <c r="F8" s="155">
        <f t="shared" si="0"/>
        <v>7772.391304347826</v>
      </c>
      <c r="G8" s="154">
        <v>0</v>
      </c>
      <c r="H8" s="154">
        <f>SUM(H7+G8)</f>
        <v>35753</v>
      </c>
      <c r="I8" s="175">
        <f t="shared" si="2"/>
        <v>459.99999999999994</v>
      </c>
      <c r="J8" s="174">
        <v>1081230.2173913044</v>
      </c>
      <c r="K8" s="155">
        <f t="shared" si="3"/>
        <v>5406151.0869565224</v>
      </c>
      <c r="L8" s="154">
        <v>863358</v>
      </c>
      <c r="M8" s="154">
        <f t="shared" si="4"/>
        <v>1032161</v>
      </c>
      <c r="N8" s="175">
        <f t="shared" si="5"/>
        <v>19.092344690297423</v>
      </c>
      <c r="O8" s="174">
        <v>6847.739130434783</v>
      </c>
      <c r="P8" s="155">
        <f t="shared" si="6"/>
        <v>34238.695652173912</v>
      </c>
      <c r="Q8" s="154">
        <v>6465</v>
      </c>
      <c r="R8" s="154">
        <f>SUM(R7+Q8)</f>
        <v>35754</v>
      </c>
      <c r="S8" s="175">
        <f t="shared" si="8"/>
        <v>104.42570699310467</v>
      </c>
      <c r="T8" s="366">
        <v>0</v>
      </c>
      <c r="U8" s="367">
        <v>0</v>
      </c>
      <c r="V8" s="366">
        <v>0</v>
      </c>
      <c r="W8" s="367">
        <v>0</v>
      </c>
    </row>
    <row r="9" spans="1:23" ht="26.25" x14ac:dyDescent="0.4">
      <c r="A9" s="156">
        <v>2018</v>
      </c>
      <c r="B9" s="156">
        <v>1</v>
      </c>
      <c r="C9" s="157">
        <v>43101</v>
      </c>
      <c r="D9" s="159">
        <v>43190</v>
      </c>
      <c r="E9" s="174">
        <v>1554.4782608695652</v>
      </c>
      <c r="F9" s="155">
        <f t="shared" si="0"/>
        <v>9326.8695652173919</v>
      </c>
      <c r="G9" s="154">
        <v>0</v>
      </c>
      <c r="H9" s="154">
        <f t="shared" si="1"/>
        <v>35753</v>
      </c>
      <c r="I9" s="175">
        <f t="shared" si="2"/>
        <v>383.33333333333331</v>
      </c>
      <c r="J9" s="174">
        <v>1081230.2173913044</v>
      </c>
      <c r="K9" s="155">
        <f t="shared" si="3"/>
        <v>6487381.3043478271</v>
      </c>
      <c r="L9" s="154">
        <v>1039205</v>
      </c>
      <c r="M9" s="154">
        <f t="shared" si="4"/>
        <v>2071366</v>
      </c>
      <c r="N9" s="175">
        <f t="shared" si="5"/>
        <v>31.929154505097081</v>
      </c>
      <c r="O9" s="174">
        <v>6847.739130434783</v>
      </c>
      <c r="P9" s="155">
        <f t="shared" si="6"/>
        <v>41086.434782608696</v>
      </c>
      <c r="Q9" s="154">
        <v>3639</v>
      </c>
      <c r="R9" s="154">
        <f t="shared" ref="R9:R11" si="9">SUM(R8+Q9)</f>
        <v>39393</v>
      </c>
      <c r="S9" s="175">
        <f t="shared" si="8"/>
        <v>95.878360360131552</v>
      </c>
      <c r="T9" s="366">
        <v>0</v>
      </c>
      <c r="U9" s="367">
        <v>0</v>
      </c>
      <c r="V9" s="366">
        <v>0</v>
      </c>
      <c r="W9" s="367">
        <v>0</v>
      </c>
    </row>
    <row r="10" spans="1:23" ht="26.25" x14ac:dyDescent="0.4">
      <c r="A10" s="156">
        <v>2018</v>
      </c>
      <c r="B10" s="156">
        <v>2</v>
      </c>
      <c r="C10" s="157">
        <v>43191</v>
      </c>
      <c r="D10" s="159">
        <v>43281</v>
      </c>
      <c r="E10" s="174">
        <v>1554.4782608695652</v>
      </c>
      <c r="F10" s="155">
        <f t="shared" si="0"/>
        <v>10881.347826086958</v>
      </c>
      <c r="G10" s="154">
        <v>0</v>
      </c>
      <c r="H10" s="154">
        <f t="shared" si="1"/>
        <v>35753</v>
      </c>
      <c r="I10" s="175">
        <f t="shared" si="2"/>
        <v>328.5714285714285</v>
      </c>
      <c r="J10" s="174">
        <v>1081230.2173913044</v>
      </c>
      <c r="K10" s="155">
        <f t="shared" si="3"/>
        <v>7568611.5217391318</v>
      </c>
      <c r="L10" s="154">
        <v>1421960</v>
      </c>
      <c r="M10" s="154">
        <f t="shared" si="4"/>
        <v>3493326</v>
      </c>
      <c r="N10" s="175">
        <f t="shared" si="5"/>
        <v>46.1554406639343</v>
      </c>
      <c r="O10" s="174">
        <v>6847.739130434783</v>
      </c>
      <c r="P10" s="155">
        <f t="shared" si="6"/>
        <v>47934.17391304348</v>
      </c>
      <c r="Q10" s="154">
        <v>10756</v>
      </c>
      <c r="R10" s="154">
        <f t="shared" si="9"/>
        <v>50149</v>
      </c>
      <c r="S10" s="175">
        <f t="shared" si="8"/>
        <v>104.62055753995969</v>
      </c>
      <c r="T10" s="366">
        <v>0</v>
      </c>
      <c r="U10" s="367">
        <v>0</v>
      </c>
      <c r="V10" s="366">
        <v>0</v>
      </c>
      <c r="W10" s="367">
        <v>0</v>
      </c>
    </row>
    <row r="11" spans="1:23" ht="26.25" x14ac:dyDescent="0.4">
      <c r="A11" s="156">
        <v>2018</v>
      </c>
      <c r="B11" s="156">
        <v>3</v>
      </c>
      <c r="C11" s="157">
        <v>43282</v>
      </c>
      <c r="D11" s="159">
        <v>43373</v>
      </c>
      <c r="E11" s="174">
        <v>1554.4782608695652</v>
      </c>
      <c r="F11" s="155">
        <f t="shared" si="0"/>
        <v>12435.826086956524</v>
      </c>
      <c r="G11" s="154">
        <v>0</v>
      </c>
      <c r="H11" s="154">
        <f t="shared" si="1"/>
        <v>35753</v>
      </c>
      <c r="I11" s="175">
        <f t="shared" si="2"/>
        <v>287.49999999999994</v>
      </c>
      <c r="J11" s="174">
        <v>1081230.2173913044</v>
      </c>
      <c r="K11" s="155">
        <f t="shared" si="3"/>
        <v>8649841.7391304355</v>
      </c>
      <c r="L11" s="154">
        <v>2221985</v>
      </c>
      <c r="M11" s="154">
        <f t="shared" si="4"/>
        <v>5715311</v>
      </c>
      <c r="N11" s="175">
        <f t="shared" si="5"/>
        <v>66.074168434144752</v>
      </c>
      <c r="O11" s="174">
        <v>6847.739130434783</v>
      </c>
      <c r="P11" s="155">
        <f t="shared" si="6"/>
        <v>54781.913043478264</v>
      </c>
      <c r="Q11" s="154">
        <v>7512</v>
      </c>
      <c r="R11" s="154">
        <f t="shared" si="9"/>
        <v>57661</v>
      </c>
      <c r="S11" s="175">
        <f t="shared" si="8"/>
        <v>105.25554292752923</v>
      </c>
      <c r="T11" s="366">
        <v>0</v>
      </c>
      <c r="U11" s="367">
        <v>0</v>
      </c>
      <c r="V11" s="366">
        <v>0</v>
      </c>
      <c r="W11" s="367">
        <v>0</v>
      </c>
    </row>
    <row r="12" spans="1:23" ht="26.25" x14ac:dyDescent="0.4">
      <c r="A12" s="156">
        <v>2018</v>
      </c>
      <c r="B12" s="156">
        <v>4</v>
      </c>
      <c r="C12" s="157">
        <v>43374</v>
      </c>
      <c r="D12" s="159">
        <v>43465</v>
      </c>
      <c r="E12" s="174">
        <v>1554.4782608695652</v>
      </c>
      <c r="F12" s="155">
        <f t="shared" si="0"/>
        <v>13990.30434782609</v>
      </c>
      <c r="G12" s="154">
        <v>0</v>
      </c>
      <c r="H12" s="154">
        <f>SUM(H11+G12)</f>
        <v>35753</v>
      </c>
      <c r="I12" s="175">
        <f t="shared" si="2"/>
        <v>255.55555555555549</v>
      </c>
      <c r="J12" s="174">
        <v>1081230.2173913044</v>
      </c>
      <c r="K12" s="155">
        <f t="shared" si="3"/>
        <v>9731071.9565217402</v>
      </c>
      <c r="L12" s="154">
        <v>2048483</v>
      </c>
      <c r="M12" s="154">
        <f t="shared" si="4"/>
        <v>7763794</v>
      </c>
      <c r="N12" s="175">
        <f t="shared" si="5"/>
        <v>79.783543217936284</v>
      </c>
      <c r="O12" s="174">
        <v>6847.739130434783</v>
      </c>
      <c r="P12" s="155">
        <f t="shared" si="6"/>
        <v>61629.652173913048</v>
      </c>
      <c r="Q12" s="154">
        <v>2941</v>
      </c>
      <c r="R12" s="154">
        <f>SUM(R11+Q12)</f>
        <v>60602</v>
      </c>
      <c r="S12" s="175">
        <f t="shared" si="8"/>
        <v>98.332536145079786</v>
      </c>
      <c r="T12" s="366">
        <v>0</v>
      </c>
      <c r="U12" s="367">
        <v>0</v>
      </c>
      <c r="V12" s="366">
        <v>0</v>
      </c>
      <c r="W12" s="367">
        <v>0</v>
      </c>
    </row>
    <row r="13" spans="1:23" ht="26.25" x14ac:dyDescent="0.4">
      <c r="A13" s="156">
        <v>2019</v>
      </c>
      <c r="B13" s="156">
        <v>1</v>
      </c>
      <c r="C13" s="157">
        <v>43466</v>
      </c>
      <c r="D13" s="159">
        <v>43555</v>
      </c>
      <c r="E13" s="174">
        <v>1554.4782608695652</v>
      </c>
      <c r="F13" s="155">
        <f t="shared" si="0"/>
        <v>15544.782608695656</v>
      </c>
      <c r="G13" s="154">
        <v>0</v>
      </c>
      <c r="H13" s="154">
        <f t="shared" si="1"/>
        <v>35753</v>
      </c>
      <c r="I13" s="175">
        <f t="shared" si="2"/>
        <v>229.99999999999994</v>
      </c>
      <c r="J13" s="174">
        <v>1081230.2173913044</v>
      </c>
      <c r="K13" s="155">
        <f t="shared" si="3"/>
        <v>10812302.173913045</v>
      </c>
      <c r="L13" s="154">
        <v>680135</v>
      </c>
      <c r="M13" s="154">
        <f t="shared" si="4"/>
        <v>8443929</v>
      </c>
      <c r="N13" s="175">
        <f t="shared" si="5"/>
        <v>78.09556988124838</v>
      </c>
      <c r="O13" s="174">
        <v>6847.739130434783</v>
      </c>
      <c r="P13" s="155">
        <f t="shared" si="6"/>
        <v>68477.391304347824</v>
      </c>
      <c r="Q13" s="154">
        <v>3219</v>
      </c>
      <c r="R13" s="154">
        <f t="shared" ref="R13:R22" si="10">SUM(R12+Q13)</f>
        <v>63821</v>
      </c>
      <c r="S13" s="175">
        <f t="shared" si="8"/>
        <v>93.200104128306393</v>
      </c>
      <c r="T13" s="366">
        <v>0</v>
      </c>
      <c r="U13" s="367">
        <v>0</v>
      </c>
      <c r="V13" s="366">
        <v>0</v>
      </c>
      <c r="W13" s="367">
        <v>0</v>
      </c>
    </row>
    <row r="14" spans="1:23" ht="26.25" x14ac:dyDescent="0.4">
      <c r="A14" s="156">
        <v>2019</v>
      </c>
      <c r="B14" s="156">
        <v>2</v>
      </c>
      <c r="C14" s="157">
        <v>43556</v>
      </c>
      <c r="D14" s="159">
        <v>43646</v>
      </c>
      <c r="E14" s="174">
        <v>1554.4782608695652</v>
      </c>
      <c r="F14" s="155">
        <f t="shared" si="0"/>
        <v>17099.26086956522</v>
      </c>
      <c r="G14" s="154">
        <v>0</v>
      </c>
      <c r="H14" s="154">
        <f t="shared" si="1"/>
        <v>35753</v>
      </c>
      <c r="I14" s="175">
        <f t="shared" si="2"/>
        <v>209.09090909090909</v>
      </c>
      <c r="J14" s="174">
        <v>1081230.2173913044</v>
      </c>
      <c r="K14" s="155">
        <f t="shared" si="3"/>
        <v>11893532.39130435</v>
      </c>
      <c r="L14" s="154">
        <v>1245653</v>
      </c>
      <c r="M14" s="154">
        <f t="shared" si="4"/>
        <v>9689582</v>
      </c>
      <c r="N14" s="175">
        <f t="shared" si="5"/>
        <v>81.469337125480806</v>
      </c>
      <c r="O14" s="174">
        <v>6847.739130434783</v>
      </c>
      <c r="P14" s="155">
        <f t="shared" si="6"/>
        <v>75325.130434782608</v>
      </c>
      <c r="Q14" s="154">
        <v>7219</v>
      </c>
      <c r="R14" s="154">
        <f t="shared" si="10"/>
        <v>71040</v>
      </c>
      <c r="S14" s="175">
        <f t="shared" si="8"/>
        <v>94.311154311916226</v>
      </c>
      <c r="T14" s="366">
        <v>0</v>
      </c>
      <c r="U14" s="367">
        <v>0</v>
      </c>
      <c r="V14" s="366">
        <v>0</v>
      </c>
      <c r="W14" s="367">
        <v>0</v>
      </c>
    </row>
    <row r="15" spans="1:23" ht="26.25" x14ac:dyDescent="0.4">
      <c r="A15" s="156">
        <v>2019</v>
      </c>
      <c r="B15" s="156">
        <v>3</v>
      </c>
      <c r="C15" s="157">
        <v>43653</v>
      </c>
      <c r="D15" s="159">
        <v>43738</v>
      </c>
      <c r="E15" s="174">
        <v>1554.4782608695652</v>
      </c>
      <c r="F15" s="155">
        <f t="shared" si="0"/>
        <v>18653.739130434784</v>
      </c>
      <c r="G15" s="154">
        <v>0</v>
      </c>
      <c r="H15" s="154">
        <f t="shared" si="1"/>
        <v>35753</v>
      </c>
      <c r="I15" s="175">
        <f t="shared" si="2"/>
        <v>191.66666666666666</v>
      </c>
      <c r="J15" s="174">
        <v>1081230.2173913044</v>
      </c>
      <c r="K15" s="155">
        <f t="shared" si="3"/>
        <v>12974762.608695654</v>
      </c>
      <c r="L15" s="154">
        <v>1824968</v>
      </c>
      <c r="M15" s="154">
        <f t="shared" si="4"/>
        <v>11514550</v>
      </c>
      <c r="N15" s="175">
        <f t="shared" si="5"/>
        <v>88.745747011070378</v>
      </c>
      <c r="O15" s="174">
        <v>6847.739130434783</v>
      </c>
      <c r="P15" s="155">
        <f t="shared" si="6"/>
        <v>82172.869565217392</v>
      </c>
      <c r="Q15" s="154">
        <v>10427</v>
      </c>
      <c r="R15" s="154">
        <f t="shared" si="10"/>
        <v>81467</v>
      </c>
      <c r="S15" s="175">
        <f t="shared" si="8"/>
        <v>99.140994382997462</v>
      </c>
      <c r="T15" s="366">
        <v>0</v>
      </c>
      <c r="U15" s="367">
        <v>0</v>
      </c>
      <c r="V15" s="366">
        <v>0</v>
      </c>
      <c r="W15" s="367">
        <v>0</v>
      </c>
    </row>
    <row r="16" spans="1:23" ht="26.25" x14ac:dyDescent="0.4">
      <c r="A16" s="156">
        <v>2019</v>
      </c>
      <c r="B16" s="156">
        <v>4</v>
      </c>
      <c r="C16" s="157">
        <v>43739</v>
      </c>
      <c r="D16" s="159">
        <v>43830</v>
      </c>
      <c r="E16" s="174">
        <v>1554.4782608695652</v>
      </c>
      <c r="F16" s="155">
        <f t="shared" si="0"/>
        <v>20208.217391304348</v>
      </c>
      <c r="G16" s="154">
        <v>0</v>
      </c>
      <c r="H16" s="154">
        <f t="shared" si="1"/>
        <v>35753</v>
      </c>
      <c r="I16" s="175">
        <f t="shared" si="2"/>
        <v>176.92307692307691</v>
      </c>
      <c r="J16" s="174">
        <v>1081230.2173913044</v>
      </c>
      <c r="K16" s="155">
        <f t="shared" si="3"/>
        <v>14055992.826086959</v>
      </c>
      <c r="L16" s="154">
        <v>1757278</v>
      </c>
      <c r="M16" s="154">
        <f t="shared" si="4"/>
        <v>13271828</v>
      </c>
      <c r="N16" s="175">
        <f t="shared" si="5"/>
        <v>94.421135270988458</v>
      </c>
      <c r="O16" s="174">
        <v>6847.739130434783</v>
      </c>
      <c r="P16" s="155">
        <f t="shared" si="6"/>
        <v>89020.608695652176</v>
      </c>
      <c r="Q16" s="154">
        <v>3424</v>
      </c>
      <c r="R16" s="154">
        <f t="shared" si="10"/>
        <v>84891</v>
      </c>
      <c r="S16" s="175">
        <f t="shared" si="8"/>
        <v>95.361064414004773</v>
      </c>
      <c r="T16" s="366">
        <v>0</v>
      </c>
      <c r="U16" s="367">
        <v>0</v>
      </c>
      <c r="V16" s="366">
        <v>0</v>
      </c>
      <c r="W16" s="367">
        <v>0</v>
      </c>
    </row>
    <row r="17" spans="1:23" ht="26.25" x14ac:dyDescent="0.4">
      <c r="A17" s="156">
        <v>2020</v>
      </c>
      <c r="B17" s="156">
        <v>1</v>
      </c>
      <c r="C17" s="157">
        <v>43831</v>
      </c>
      <c r="D17" s="159">
        <v>43921</v>
      </c>
      <c r="E17" s="174">
        <v>1554.4782608695652</v>
      </c>
      <c r="F17" s="155">
        <f t="shared" si="0"/>
        <v>21762.695652173912</v>
      </c>
      <c r="G17" s="154">
        <v>0</v>
      </c>
      <c r="H17" s="154">
        <f t="shared" si="1"/>
        <v>35753</v>
      </c>
      <c r="I17" s="175">
        <f t="shared" si="2"/>
        <v>164.28571428571431</v>
      </c>
      <c r="J17" s="174">
        <v>1081230.2173913044</v>
      </c>
      <c r="K17" s="155">
        <f t="shared" si="3"/>
        <v>15137223.043478264</v>
      </c>
      <c r="L17" s="154">
        <v>2810969</v>
      </c>
      <c r="M17" s="154">
        <f t="shared" si="4"/>
        <v>16082797</v>
      </c>
      <c r="N17" s="175">
        <f t="shared" si="5"/>
        <v>106.24668047637131</v>
      </c>
      <c r="O17" s="174">
        <v>6847.739130434783</v>
      </c>
      <c r="P17" s="155">
        <f t="shared" si="6"/>
        <v>95868.34782608696</v>
      </c>
      <c r="Q17" s="154">
        <v>8627</v>
      </c>
      <c r="R17" s="154">
        <f t="shared" si="10"/>
        <v>93518</v>
      </c>
      <c r="S17" s="175">
        <f t="shared" si="8"/>
        <v>97.54835889072514</v>
      </c>
      <c r="T17" s="366">
        <v>0</v>
      </c>
      <c r="U17" s="367">
        <v>0</v>
      </c>
      <c r="V17" s="366">
        <v>0</v>
      </c>
      <c r="W17" s="367">
        <v>0</v>
      </c>
    </row>
    <row r="18" spans="1:23" ht="26.25" x14ac:dyDescent="0.4">
      <c r="A18" s="156">
        <v>2020</v>
      </c>
      <c r="B18" s="156">
        <v>2</v>
      </c>
      <c r="C18" s="157">
        <v>43922</v>
      </c>
      <c r="D18" s="159">
        <v>44012</v>
      </c>
      <c r="E18" s="174">
        <v>1554.4782608695652</v>
      </c>
      <c r="F18" s="155">
        <f t="shared" si="0"/>
        <v>23317.173913043476</v>
      </c>
      <c r="G18" s="154">
        <v>0</v>
      </c>
      <c r="H18" s="154">
        <f t="shared" si="1"/>
        <v>35753</v>
      </c>
      <c r="I18" s="175">
        <f t="shared" si="2"/>
        <v>153.33333333333334</v>
      </c>
      <c r="J18" s="174">
        <v>1081230.2173913044</v>
      </c>
      <c r="K18" s="155">
        <f t="shared" si="3"/>
        <v>16218453.260869568</v>
      </c>
      <c r="L18" s="154">
        <v>1763706</v>
      </c>
      <c r="M18" s="154">
        <f t="shared" si="4"/>
        <v>17846503</v>
      </c>
      <c r="N18" s="175">
        <f t="shared" si="5"/>
        <v>110.03825526974538</v>
      </c>
      <c r="O18" s="174">
        <v>6847.739130434783</v>
      </c>
      <c r="P18" s="155">
        <f t="shared" si="6"/>
        <v>102716.08695652174</v>
      </c>
      <c r="Q18" s="154">
        <v>9951</v>
      </c>
      <c r="R18" s="154">
        <f t="shared" si="10"/>
        <v>103469</v>
      </c>
      <c r="S18" s="175">
        <f t="shared" si="8"/>
        <v>100.73300401698222</v>
      </c>
      <c r="T18" s="366">
        <v>0</v>
      </c>
      <c r="U18" s="367">
        <v>0</v>
      </c>
      <c r="V18" s="366">
        <v>0</v>
      </c>
      <c r="W18" s="367">
        <v>0</v>
      </c>
    </row>
    <row r="19" spans="1:23" ht="26.25" x14ac:dyDescent="0.4">
      <c r="A19" s="156">
        <v>2020</v>
      </c>
      <c r="B19" s="156">
        <v>3</v>
      </c>
      <c r="C19" s="157">
        <v>44013</v>
      </c>
      <c r="D19" s="159">
        <v>44104</v>
      </c>
      <c r="E19" s="174">
        <v>1554.4782608695652</v>
      </c>
      <c r="F19" s="155">
        <f t="shared" si="0"/>
        <v>24871.65217391304</v>
      </c>
      <c r="G19" s="154">
        <v>0</v>
      </c>
      <c r="H19" s="154">
        <f t="shared" si="1"/>
        <v>35753</v>
      </c>
      <c r="I19" s="175">
        <f t="shared" si="2"/>
        <v>143.75000000000003</v>
      </c>
      <c r="J19" s="174">
        <v>1081230.2173913044</v>
      </c>
      <c r="K19" s="155">
        <f t="shared" si="3"/>
        <v>17299683.478260871</v>
      </c>
      <c r="L19" s="154">
        <v>1079574</v>
      </c>
      <c r="M19" s="154">
        <f>M18+L19</f>
        <v>18926077</v>
      </c>
      <c r="N19" s="175">
        <f t="shared" si="5"/>
        <v>109.40129062929323</v>
      </c>
      <c r="O19" s="174">
        <v>6847.739130434783</v>
      </c>
      <c r="P19" s="155">
        <f t="shared" si="6"/>
        <v>109563.82608695653</v>
      </c>
      <c r="Q19" s="154">
        <v>3397</v>
      </c>
      <c r="R19" s="154">
        <f t="shared" si="10"/>
        <v>106866</v>
      </c>
      <c r="S19" s="175">
        <f t="shared" si="8"/>
        <v>97.537667144979608</v>
      </c>
      <c r="T19" s="366">
        <v>0</v>
      </c>
      <c r="U19" s="367">
        <v>0</v>
      </c>
      <c r="V19" s="366">
        <v>0</v>
      </c>
      <c r="W19" s="367">
        <v>0</v>
      </c>
    </row>
    <row r="20" spans="1:23" ht="26.25" x14ac:dyDescent="0.4">
      <c r="A20" s="156">
        <v>2020</v>
      </c>
      <c r="B20" s="156">
        <v>4</v>
      </c>
      <c r="C20" s="157">
        <v>44105</v>
      </c>
      <c r="D20" s="159">
        <v>44196</v>
      </c>
      <c r="E20" s="174">
        <v>1554.4782608695652</v>
      </c>
      <c r="F20" s="155">
        <f t="shared" si="0"/>
        <v>26426.130434782604</v>
      </c>
      <c r="G20" s="154">
        <v>0</v>
      </c>
      <c r="H20" s="154">
        <f t="shared" si="1"/>
        <v>35753</v>
      </c>
      <c r="I20" s="175">
        <f t="shared" si="2"/>
        <v>135.29411764705884</v>
      </c>
      <c r="J20" s="174">
        <v>1081230.2173913044</v>
      </c>
      <c r="K20" s="155">
        <f t="shared" si="3"/>
        <v>18380913.695652176</v>
      </c>
      <c r="L20" s="154">
        <v>1984135</v>
      </c>
      <c r="M20" s="154">
        <f>M19+L20</f>
        <v>20910212</v>
      </c>
      <c r="N20" s="175">
        <f t="shared" si="5"/>
        <v>113.76046015028135</v>
      </c>
      <c r="O20" s="174">
        <v>6847.739130434783</v>
      </c>
      <c r="P20" s="155">
        <f t="shared" si="6"/>
        <v>116411.56521739131</v>
      </c>
      <c r="Q20" s="154">
        <v>7220</v>
      </c>
      <c r="R20" s="154">
        <f t="shared" si="10"/>
        <v>114086</v>
      </c>
      <c r="S20" s="175">
        <f t="shared" si="8"/>
        <v>98.00229022516065</v>
      </c>
      <c r="T20" s="366">
        <v>0</v>
      </c>
      <c r="U20" s="367">
        <v>0</v>
      </c>
      <c r="V20" s="366">
        <v>0</v>
      </c>
      <c r="W20" s="367">
        <v>0</v>
      </c>
    </row>
    <row r="21" spans="1:23" ht="26.25" x14ac:dyDescent="0.4">
      <c r="A21" s="156">
        <v>2021</v>
      </c>
      <c r="B21" s="156">
        <v>1</v>
      </c>
      <c r="C21" s="157">
        <v>44197</v>
      </c>
      <c r="D21" s="159">
        <v>44286</v>
      </c>
      <c r="E21" s="174">
        <v>1554.4782608695652</v>
      </c>
      <c r="F21" s="155">
        <f t="shared" si="0"/>
        <v>27980.608695652169</v>
      </c>
      <c r="G21" s="154">
        <v>0</v>
      </c>
      <c r="H21" s="154">
        <f t="shared" si="1"/>
        <v>35753</v>
      </c>
      <c r="I21" s="175">
        <f t="shared" si="2"/>
        <v>127.77777777777781</v>
      </c>
      <c r="J21" s="174">
        <v>1081230.2173913044</v>
      </c>
      <c r="K21" s="155">
        <f t="shared" si="3"/>
        <v>19462143.91304348</v>
      </c>
      <c r="L21" s="154">
        <v>2124424</v>
      </c>
      <c r="M21" s="154">
        <f t="shared" si="4"/>
        <v>23034636</v>
      </c>
      <c r="N21" s="175">
        <f t="shared" si="5"/>
        <v>118.35610764630225</v>
      </c>
      <c r="O21" s="174">
        <v>6847.739130434783</v>
      </c>
      <c r="P21" s="155">
        <f t="shared" si="6"/>
        <v>123259.3043478261</v>
      </c>
      <c r="Q21" s="154">
        <v>12623</v>
      </c>
      <c r="R21" s="154">
        <f t="shared" si="10"/>
        <v>126709</v>
      </c>
      <c r="S21" s="175">
        <f t="shared" si="8"/>
        <v>102.79873042479551</v>
      </c>
      <c r="T21" s="366">
        <v>0</v>
      </c>
      <c r="U21" s="367">
        <v>0</v>
      </c>
      <c r="V21" s="366">
        <v>0</v>
      </c>
      <c r="W21" s="367">
        <v>0</v>
      </c>
    </row>
    <row r="22" spans="1:23" ht="26.25" x14ac:dyDescent="0.4">
      <c r="A22" s="156">
        <v>2021</v>
      </c>
      <c r="B22" s="156">
        <v>2</v>
      </c>
      <c r="C22" s="157">
        <v>44287</v>
      </c>
      <c r="D22" s="159">
        <v>44377</v>
      </c>
      <c r="E22" s="174">
        <v>1554.4782608695652</v>
      </c>
      <c r="F22" s="155">
        <f t="shared" si="0"/>
        <v>29535.086956521733</v>
      </c>
      <c r="G22" s="154">
        <v>0</v>
      </c>
      <c r="H22" s="154">
        <f t="shared" si="1"/>
        <v>35753</v>
      </c>
      <c r="I22" s="175">
        <f t="shared" si="2"/>
        <v>121.05263157894738</v>
      </c>
      <c r="J22" s="174">
        <v>1081230.2173913044</v>
      </c>
      <c r="K22" s="155">
        <f t="shared" si="3"/>
        <v>20543374.130434785</v>
      </c>
      <c r="L22" s="154">
        <v>664952</v>
      </c>
      <c r="M22" s="154">
        <f>M21+L22</f>
        <v>23699588</v>
      </c>
      <c r="N22" s="175">
        <f t="shared" si="5"/>
        <v>115.36365861579338</v>
      </c>
      <c r="O22" s="174">
        <v>6847.739130434783</v>
      </c>
      <c r="P22" s="155">
        <f t="shared" si="6"/>
        <v>130107.04347826088</v>
      </c>
      <c r="Q22" s="154">
        <v>4873</v>
      </c>
      <c r="R22" s="154">
        <f t="shared" si="10"/>
        <v>131582</v>
      </c>
      <c r="S22" s="175">
        <f t="shared" si="8"/>
        <v>101.13364848074929</v>
      </c>
      <c r="T22" s="366">
        <v>0</v>
      </c>
      <c r="U22" s="367">
        <v>0</v>
      </c>
      <c r="V22" s="366">
        <v>0</v>
      </c>
      <c r="W22" s="367">
        <v>0</v>
      </c>
    </row>
    <row r="23" spans="1:23" ht="26.25" x14ac:dyDescent="0.4">
      <c r="A23" s="156">
        <v>2021</v>
      </c>
      <c r="B23" s="156">
        <v>3</v>
      </c>
      <c r="C23" s="157">
        <v>44378</v>
      </c>
      <c r="D23" s="159">
        <v>44469</v>
      </c>
      <c r="E23" s="174">
        <v>1554.4782608695652</v>
      </c>
      <c r="F23" s="155">
        <f t="shared" si="0"/>
        <v>31089.565217391297</v>
      </c>
      <c r="G23" s="154">
        <v>0</v>
      </c>
      <c r="H23" s="154">
        <f>SUM(H22+G23)</f>
        <v>35753</v>
      </c>
      <c r="I23" s="175">
        <f t="shared" si="2"/>
        <v>115.00000000000003</v>
      </c>
      <c r="J23" s="174">
        <v>1081230.2173913044</v>
      </c>
      <c r="K23" s="155">
        <f t="shared" si="3"/>
        <v>21624604.34782609</v>
      </c>
      <c r="L23" s="154">
        <v>648268</v>
      </c>
      <c r="M23" s="154">
        <f t="shared" si="4"/>
        <v>24347856</v>
      </c>
      <c r="N23" s="175">
        <f t="shared" si="5"/>
        <v>112.59330163165589</v>
      </c>
      <c r="O23" s="174">
        <v>6847.739130434783</v>
      </c>
      <c r="P23" s="155">
        <f t="shared" si="6"/>
        <v>136954.78260869565</v>
      </c>
      <c r="Q23" s="154">
        <v>3783</v>
      </c>
      <c r="R23" s="154">
        <f>SUM(R22+Q23)</f>
        <v>135365</v>
      </c>
      <c r="S23" s="175">
        <f t="shared" si="8"/>
        <v>98.839191608782343</v>
      </c>
      <c r="T23" s="366">
        <v>0</v>
      </c>
      <c r="U23" s="367">
        <v>0</v>
      </c>
      <c r="V23" s="366">
        <v>0</v>
      </c>
      <c r="W23" s="367">
        <v>0</v>
      </c>
    </row>
    <row r="24" spans="1:23" ht="26.25" x14ac:dyDescent="0.4">
      <c r="A24" s="156">
        <v>2021</v>
      </c>
      <c r="B24" s="156">
        <v>4</v>
      </c>
      <c r="C24" s="157">
        <v>44470</v>
      </c>
      <c r="D24" s="159">
        <v>44561</v>
      </c>
      <c r="E24" s="174">
        <v>1554.4782608695652</v>
      </c>
      <c r="F24" s="155">
        <f t="shared" si="0"/>
        <v>32644.043478260861</v>
      </c>
      <c r="G24" s="154">
        <v>0</v>
      </c>
      <c r="H24" s="154">
        <f t="shared" ref="H24:H26" si="11">SUM(H23+G24)</f>
        <v>35753</v>
      </c>
      <c r="I24" s="175">
        <f t="shared" si="2"/>
        <v>109.52380952380956</v>
      </c>
      <c r="J24" s="174">
        <v>1081230.2173913044</v>
      </c>
      <c r="K24" s="155">
        <f t="shared" si="3"/>
        <v>22705834.565217394</v>
      </c>
      <c r="L24" s="154">
        <v>415260</v>
      </c>
      <c r="M24" s="154">
        <f t="shared" si="4"/>
        <v>24763116</v>
      </c>
      <c r="N24" s="175">
        <f t="shared" si="5"/>
        <v>109.06058497375875</v>
      </c>
      <c r="O24" s="174">
        <v>6847.739130434783</v>
      </c>
      <c r="P24" s="155">
        <f t="shared" si="6"/>
        <v>143802.52173913043</v>
      </c>
      <c r="Q24" s="154">
        <v>3435</v>
      </c>
      <c r="R24" s="154">
        <f t="shared" ref="R24:R25" si="12">SUM(R23+Q24)</f>
        <v>138800</v>
      </c>
      <c r="S24" s="175">
        <f t="shared" si="8"/>
        <v>96.521255901057543</v>
      </c>
      <c r="T24" s="366">
        <v>0</v>
      </c>
      <c r="U24" s="367">
        <v>0</v>
      </c>
      <c r="V24" s="366">
        <v>0</v>
      </c>
      <c r="W24" s="367">
        <v>0</v>
      </c>
    </row>
    <row r="25" spans="1:23" ht="26.25" x14ac:dyDescent="0.4">
      <c r="A25" s="156">
        <v>2022</v>
      </c>
      <c r="B25" s="156">
        <v>1</v>
      </c>
      <c r="C25" s="157">
        <v>44562</v>
      </c>
      <c r="D25" s="159">
        <v>44651</v>
      </c>
      <c r="E25" s="174">
        <v>1554.4782608695652</v>
      </c>
      <c r="F25" s="155">
        <f t="shared" si="0"/>
        <v>34198.521739130425</v>
      </c>
      <c r="G25" s="154">
        <v>0</v>
      </c>
      <c r="H25" s="154">
        <f t="shared" si="11"/>
        <v>35753</v>
      </c>
      <c r="I25" s="175">
        <f t="shared" si="2"/>
        <v>104.54545454545459</v>
      </c>
      <c r="J25" s="174">
        <v>1081230.2173913044</v>
      </c>
      <c r="K25" s="155">
        <f t="shared" si="3"/>
        <v>23787064.782608699</v>
      </c>
      <c r="L25" s="154"/>
      <c r="M25" s="154">
        <f t="shared" si="4"/>
        <v>24763116</v>
      </c>
      <c r="N25" s="175">
        <f t="shared" si="5"/>
        <v>104.10328565676971</v>
      </c>
      <c r="O25" s="174">
        <v>6847.739130434783</v>
      </c>
      <c r="P25" s="155">
        <f t="shared" si="6"/>
        <v>150650.26086956522</v>
      </c>
      <c r="Q25" s="154">
        <v>0</v>
      </c>
      <c r="R25" s="154">
        <f t="shared" si="12"/>
        <v>138800</v>
      </c>
      <c r="S25" s="175">
        <f t="shared" si="8"/>
        <v>92.133926087373112</v>
      </c>
      <c r="T25" s="366">
        <v>0</v>
      </c>
      <c r="U25" s="367">
        <v>0</v>
      </c>
      <c r="V25" s="366">
        <v>0</v>
      </c>
      <c r="W25" s="367">
        <v>0</v>
      </c>
    </row>
    <row r="26" spans="1:23" ht="26.25" x14ac:dyDescent="0.4">
      <c r="A26" s="156">
        <v>2022</v>
      </c>
      <c r="B26" s="156">
        <v>2</v>
      </c>
      <c r="C26" s="157">
        <v>44652</v>
      </c>
      <c r="D26" s="159">
        <v>44742</v>
      </c>
      <c r="E26" s="174">
        <v>1554.4782608695652</v>
      </c>
      <c r="F26" s="155">
        <f t="shared" si="0"/>
        <v>35752.999999999993</v>
      </c>
      <c r="G26" s="154">
        <v>0</v>
      </c>
      <c r="H26" s="154">
        <f t="shared" si="11"/>
        <v>35753</v>
      </c>
      <c r="I26" s="175">
        <f t="shared" si="2"/>
        <v>100.00000000000003</v>
      </c>
      <c r="J26" s="174">
        <v>1081230.2173913044</v>
      </c>
      <c r="K26" s="155">
        <f t="shared" si="3"/>
        <v>24868295.000000004</v>
      </c>
      <c r="L26" s="154">
        <v>105179</v>
      </c>
      <c r="M26" s="154">
        <f t="shared" si="4"/>
        <v>24868295</v>
      </c>
      <c r="N26" s="175">
        <f t="shared" si="5"/>
        <v>99.999999999999986</v>
      </c>
      <c r="O26" s="174">
        <v>6847.739130434783</v>
      </c>
      <c r="P26" s="155">
        <f t="shared" si="6"/>
        <v>157498</v>
      </c>
      <c r="Q26" s="154">
        <v>18698</v>
      </c>
      <c r="R26" s="154"/>
      <c r="S26" s="175">
        <f t="shared" si="8"/>
        <v>0</v>
      </c>
      <c r="T26" s="366">
        <v>3</v>
      </c>
      <c r="U26" s="367">
        <v>3</v>
      </c>
      <c r="V26" s="366">
        <v>0</v>
      </c>
      <c r="W26" s="367">
        <v>0</v>
      </c>
    </row>
    <row r="27" spans="1:23" ht="26.25" x14ac:dyDescent="0.4">
      <c r="A27" s="156">
        <v>2022</v>
      </c>
      <c r="B27" s="156">
        <v>3</v>
      </c>
      <c r="C27" s="157">
        <v>44743</v>
      </c>
      <c r="D27" s="159">
        <v>44834</v>
      </c>
      <c r="E27" s="310"/>
      <c r="F27" s="311"/>
      <c r="G27" s="312">
        <v>0</v>
      </c>
      <c r="H27" s="154"/>
      <c r="I27" s="175"/>
      <c r="J27" s="310"/>
      <c r="K27" s="311"/>
      <c r="L27" s="312"/>
      <c r="M27" s="312"/>
      <c r="N27" s="313"/>
      <c r="O27" s="310"/>
      <c r="P27" s="311"/>
      <c r="Q27" s="312"/>
      <c r="R27" s="312"/>
      <c r="S27" s="313"/>
      <c r="T27" s="368"/>
      <c r="U27" s="367"/>
      <c r="V27" s="368"/>
      <c r="W27" s="367"/>
    </row>
    <row r="28" spans="1:23" ht="26.25" x14ac:dyDescent="0.4">
      <c r="A28" s="156">
        <v>2022</v>
      </c>
      <c r="B28" s="156">
        <v>4</v>
      </c>
      <c r="C28" s="157">
        <v>44835</v>
      </c>
      <c r="D28" s="159">
        <v>44926</v>
      </c>
      <c r="E28" s="310"/>
      <c r="F28" s="311"/>
      <c r="G28" s="312"/>
      <c r="H28" s="312"/>
      <c r="I28" s="313"/>
      <c r="J28" s="310"/>
      <c r="K28" s="311"/>
      <c r="L28" s="312"/>
      <c r="M28" s="312"/>
      <c r="N28" s="313"/>
      <c r="O28" s="310"/>
      <c r="P28" s="311"/>
      <c r="Q28" s="312"/>
      <c r="R28" s="312"/>
      <c r="S28" s="313"/>
      <c r="T28" s="368"/>
      <c r="U28" s="369"/>
      <c r="V28" s="368"/>
      <c r="W28" s="369"/>
    </row>
    <row r="29" spans="1:23" ht="26.25" x14ac:dyDescent="0.4">
      <c r="A29" s="156">
        <v>2023</v>
      </c>
      <c r="B29" s="156">
        <v>1</v>
      </c>
      <c r="C29" s="157">
        <v>44927</v>
      </c>
      <c r="D29" s="159">
        <v>45016</v>
      </c>
      <c r="E29" s="310"/>
      <c r="F29" s="311"/>
      <c r="G29" s="312"/>
      <c r="H29" s="312"/>
      <c r="I29" s="313"/>
      <c r="J29" s="310"/>
      <c r="K29" s="311"/>
      <c r="L29" s="312"/>
      <c r="M29" s="312"/>
      <c r="N29" s="313"/>
      <c r="O29" s="310"/>
      <c r="P29" s="311"/>
      <c r="Q29" s="312"/>
      <c r="R29" s="312"/>
      <c r="S29" s="313"/>
      <c r="T29" s="369"/>
      <c r="U29" s="369"/>
      <c r="V29" s="369"/>
      <c r="W29" s="369"/>
    </row>
    <row r="30" spans="1:23" ht="27" thickBot="1" x14ac:dyDescent="0.45">
      <c r="A30" s="27"/>
      <c r="B30" s="27"/>
      <c r="C30" s="28"/>
      <c r="D30" s="160"/>
      <c r="E30" s="176">
        <v>35753</v>
      </c>
      <c r="F30" s="177" t="s">
        <v>71</v>
      </c>
      <c r="G30" s="178">
        <f>SUM(G4:G27)</f>
        <v>35753</v>
      </c>
      <c r="H30" s="177" t="s">
        <v>19</v>
      </c>
      <c r="I30" s="179">
        <f>F26-H26</f>
        <v>0</v>
      </c>
      <c r="J30" s="176">
        <f>SUM(J4:J26)</f>
        <v>24868295.000000004</v>
      </c>
      <c r="K30" s="177" t="s">
        <v>71</v>
      </c>
      <c r="L30" s="178">
        <f>SUM(L3:L26)</f>
        <v>24868295</v>
      </c>
      <c r="M30" s="177" t="s">
        <v>19</v>
      </c>
      <c r="N30" s="180">
        <f>J30-L30</f>
        <v>0</v>
      </c>
      <c r="O30" s="176">
        <f>SUM(O4:O26)</f>
        <v>157498</v>
      </c>
      <c r="P30" s="177" t="s">
        <v>71</v>
      </c>
      <c r="Q30" s="178">
        <f>SUM(Q3:Q26)</f>
        <v>157498</v>
      </c>
      <c r="R30" s="177" t="s">
        <v>19</v>
      </c>
      <c r="S30" s="181">
        <f>O30-Q30</f>
        <v>0</v>
      </c>
      <c r="T30" s="369">
        <f>SUM(T4:T29)</f>
        <v>3</v>
      </c>
      <c r="U30" s="369">
        <f t="shared" ref="U30" si="13">SUM(U4:U29)</f>
        <v>3</v>
      </c>
      <c r="V30" s="369">
        <f>SUM(V4:V29)</f>
        <v>1</v>
      </c>
      <c r="W30" s="369">
        <f t="shared" ref="W30" si="14">SUM(W4:W29)</f>
        <v>1</v>
      </c>
    </row>
    <row r="31" spans="1:23" ht="27" thickTop="1" x14ac:dyDescent="0.4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</row>
    <row r="32" spans="1:23" ht="26.25" x14ac:dyDescent="0.4">
      <c r="A32" s="26"/>
      <c r="B32" s="26"/>
      <c r="C32" s="378" t="s">
        <v>159</v>
      </c>
      <c r="D32" s="379">
        <v>44742</v>
      </c>
      <c r="E32" s="26"/>
      <c r="F32" s="26"/>
      <c r="G32" s="26"/>
      <c r="H32" s="26"/>
      <c r="I32" s="26"/>
      <c r="J32" s="26"/>
      <c r="K32" s="26"/>
    </row>
    <row r="33" spans="1:11" ht="26.25" x14ac:dyDescent="0.4">
      <c r="A33" s="26"/>
      <c r="B33" s="26"/>
      <c r="C33" s="26" t="s">
        <v>163</v>
      </c>
      <c r="D33" s="26"/>
      <c r="E33" s="26"/>
      <c r="F33" s="26"/>
      <c r="G33" s="26"/>
      <c r="H33" s="26"/>
      <c r="I33" s="26"/>
      <c r="J33" s="26"/>
      <c r="K33" s="26"/>
    </row>
    <row r="34" spans="1:11" ht="26.25" x14ac:dyDescent="0.4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</row>
    <row r="35" spans="1:11" ht="26.25" x14ac:dyDescent="0.4">
      <c r="A35" s="26"/>
      <c r="B35" s="26"/>
      <c r="C35" s="26"/>
      <c r="D35" s="26"/>
      <c r="G35" s="26"/>
      <c r="H35" s="26"/>
      <c r="I35" s="26"/>
      <c r="J35" s="26"/>
      <c r="K35" s="26"/>
    </row>
  </sheetData>
  <mergeCells count="5">
    <mergeCell ref="A2:D2"/>
    <mergeCell ref="A1:S1"/>
    <mergeCell ref="E2:I2"/>
    <mergeCell ref="J2:N2"/>
    <mergeCell ref="O2:S2"/>
  </mergeCells>
  <pageMargins left="0.7" right="0.7" top="0.75" bottom="0.75" header="0.3" footer="0.3"/>
  <pageSetup scale="75" fitToHeight="0" orientation="landscape" horizont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8A2F8-E986-4B22-BA0D-AADE8AE5D22A}">
  <dimension ref="A1:W33"/>
  <sheetViews>
    <sheetView topLeftCell="B1" zoomScale="60" zoomScaleNormal="60" workbookViewId="0">
      <selection activeCell="N30" sqref="N30"/>
    </sheetView>
  </sheetViews>
  <sheetFormatPr defaultRowHeight="15" x14ac:dyDescent="0.25"/>
  <cols>
    <col min="3" max="3" width="14" bestFit="1" customWidth="1"/>
    <col min="4" max="4" width="15.5703125" bestFit="1" customWidth="1"/>
    <col min="5" max="5" width="24" bestFit="1" customWidth="1"/>
    <col min="6" max="9" width="22.28515625" bestFit="1" customWidth="1"/>
    <col min="10" max="10" width="29.42578125" bestFit="1" customWidth="1"/>
    <col min="11" max="11" width="23" customWidth="1"/>
    <col min="12" max="13" width="22.28515625" bestFit="1" customWidth="1"/>
    <col min="14" max="14" width="18.28515625" customWidth="1"/>
    <col min="15" max="15" width="28.28515625" bestFit="1" customWidth="1"/>
    <col min="16" max="16" width="22.140625" customWidth="1"/>
    <col min="17" max="17" width="16.85546875" customWidth="1"/>
    <col min="18" max="18" width="17.7109375" customWidth="1"/>
    <col min="19" max="19" width="24.140625" customWidth="1"/>
    <col min="20" max="20" width="13" customWidth="1"/>
    <col min="21" max="21" width="15.5703125" customWidth="1"/>
    <col min="22" max="22" width="16.140625" customWidth="1"/>
    <col min="23" max="23" width="15.5703125" customWidth="1"/>
  </cols>
  <sheetData>
    <row r="1" spans="1:23" ht="23.25" x14ac:dyDescent="0.35">
      <c r="A1" s="439" t="s">
        <v>127</v>
      </c>
      <c r="B1" s="439"/>
      <c r="C1" s="439"/>
      <c r="D1" s="439"/>
      <c r="E1" s="439"/>
      <c r="F1" s="439"/>
      <c r="G1" s="439"/>
      <c r="H1" s="439"/>
      <c r="I1" s="439"/>
      <c r="J1" s="439"/>
      <c r="K1" s="439"/>
      <c r="L1" s="439"/>
      <c r="M1" s="439"/>
      <c r="N1" s="439"/>
      <c r="O1" s="439"/>
      <c r="P1" s="439"/>
      <c r="Q1" s="439"/>
      <c r="R1" s="439"/>
      <c r="S1" s="439"/>
      <c r="T1" s="362"/>
      <c r="U1" s="362"/>
      <c r="V1" s="362"/>
      <c r="W1" s="362"/>
    </row>
    <row r="2" spans="1:23" ht="26.25" x14ac:dyDescent="0.4">
      <c r="A2" s="437" t="s">
        <v>30</v>
      </c>
      <c r="B2" s="437"/>
      <c r="C2" s="437"/>
      <c r="D2" s="438"/>
      <c r="E2" s="434" t="s">
        <v>128</v>
      </c>
      <c r="F2" s="435"/>
      <c r="G2" s="435"/>
      <c r="H2" s="435"/>
      <c r="I2" s="436"/>
      <c r="J2" s="434" t="s">
        <v>129</v>
      </c>
      <c r="K2" s="435"/>
      <c r="L2" s="435"/>
      <c r="M2" s="435"/>
      <c r="N2" s="436"/>
      <c r="O2" s="434" t="s">
        <v>126</v>
      </c>
      <c r="P2" s="435"/>
      <c r="Q2" s="435"/>
      <c r="R2" s="435"/>
      <c r="S2" s="436"/>
      <c r="T2" s="361"/>
      <c r="U2" s="361"/>
      <c r="V2" s="361"/>
      <c r="W2" s="361"/>
    </row>
    <row r="3" spans="1:23" ht="93.75" x14ac:dyDescent="0.3">
      <c r="A3" s="183" t="s">
        <v>46</v>
      </c>
      <c r="B3" s="183" t="s">
        <v>47</v>
      </c>
      <c r="C3" s="183" t="s">
        <v>39</v>
      </c>
      <c r="D3" s="188" t="s">
        <v>40</v>
      </c>
      <c r="E3" s="191" t="s">
        <v>75</v>
      </c>
      <c r="F3" s="156" t="s">
        <v>114</v>
      </c>
      <c r="G3" s="156" t="s">
        <v>115</v>
      </c>
      <c r="H3" s="156" t="s">
        <v>116</v>
      </c>
      <c r="I3" s="192" t="s">
        <v>117</v>
      </c>
      <c r="J3" s="191" t="s">
        <v>75</v>
      </c>
      <c r="K3" s="156" t="s">
        <v>114</v>
      </c>
      <c r="L3" s="156" t="s">
        <v>115</v>
      </c>
      <c r="M3" s="156" t="s">
        <v>116</v>
      </c>
      <c r="N3" s="192" t="s">
        <v>117</v>
      </c>
      <c r="O3" s="191" t="s">
        <v>75</v>
      </c>
      <c r="P3" s="156" t="s">
        <v>114</v>
      </c>
      <c r="Q3" s="156" t="s">
        <v>115</v>
      </c>
      <c r="R3" s="156" t="s">
        <v>116</v>
      </c>
      <c r="S3" s="192" t="s">
        <v>117</v>
      </c>
      <c r="T3" s="364" t="s">
        <v>151</v>
      </c>
      <c r="U3" s="364" t="s">
        <v>152</v>
      </c>
      <c r="V3" s="365" t="s">
        <v>147</v>
      </c>
      <c r="W3" s="365" t="s">
        <v>148</v>
      </c>
    </row>
    <row r="4" spans="1:23" ht="26.25" x14ac:dyDescent="0.4">
      <c r="A4" s="184">
        <v>1</v>
      </c>
      <c r="B4" s="184">
        <v>1</v>
      </c>
      <c r="C4" s="185">
        <v>42644</v>
      </c>
      <c r="D4" s="189">
        <v>42735</v>
      </c>
      <c r="E4" s="193">
        <v>53961.68</v>
      </c>
      <c r="F4" s="154">
        <f>E4</f>
        <v>53961.68</v>
      </c>
      <c r="G4" s="154">
        <v>0</v>
      </c>
      <c r="H4" s="154">
        <v>0</v>
      </c>
      <c r="I4" s="194">
        <f>SUM(H4/F4)*100</f>
        <v>0</v>
      </c>
      <c r="J4" s="193">
        <v>205028.32</v>
      </c>
      <c r="K4" s="154">
        <f>J4</f>
        <v>205028.32</v>
      </c>
      <c r="L4" s="154">
        <v>0</v>
      </c>
      <c r="M4" s="154">
        <v>0</v>
      </c>
      <c r="N4" s="194">
        <f>SUM(M4/K4)*100</f>
        <v>0</v>
      </c>
      <c r="O4" s="193">
        <v>2400</v>
      </c>
      <c r="P4" s="154">
        <f>O4</f>
        <v>2400</v>
      </c>
      <c r="Q4" s="154">
        <v>0</v>
      </c>
      <c r="R4" s="154">
        <v>0</v>
      </c>
      <c r="S4" s="194">
        <f>SUM(R4/P4)*100</f>
        <v>0</v>
      </c>
      <c r="T4" s="366">
        <v>0</v>
      </c>
      <c r="U4" s="367">
        <v>0</v>
      </c>
      <c r="V4" s="366">
        <v>0</v>
      </c>
      <c r="W4" s="367">
        <v>0</v>
      </c>
    </row>
    <row r="5" spans="1:23" ht="26.25" x14ac:dyDescent="0.4">
      <c r="A5" s="184">
        <v>1</v>
      </c>
      <c r="B5" s="184">
        <v>2</v>
      </c>
      <c r="C5" s="185">
        <v>42736</v>
      </c>
      <c r="D5" s="189">
        <v>42825</v>
      </c>
      <c r="E5" s="193">
        <v>53961.68</v>
      </c>
      <c r="F5" s="155">
        <f>F4+E5</f>
        <v>107923.36</v>
      </c>
      <c r="G5" s="154">
        <v>0</v>
      </c>
      <c r="H5" s="154">
        <f>SUM(H4+G5)</f>
        <v>0</v>
      </c>
      <c r="I5" s="194">
        <f>SUM(H5/F5)*100</f>
        <v>0</v>
      </c>
      <c r="J5" s="193">
        <v>205028.32</v>
      </c>
      <c r="K5" s="155">
        <f>K4+J5</f>
        <v>410056.64</v>
      </c>
      <c r="L5" s="154">
        <v>0</v>
      </c>
      <c r="M5" s="154">
        <f>SUM(M4+L5)</f>
        <v>0</v>
      </c>
      <c r="N5" s="194">
        <f t="shared" ref="N5:N28" si="0">SUM(M5/K5)*100</f>
        <v>0</v>
      </c>
      <c r="O5" s="193">
        <v>2400</v>
      </c>
      <c r="P5" s="155">
        <f>P4+O5</f>
        <v>4800</v>
      </c>
      <c r="Q5" s="154">
        <v>5925</v>
      </c>
      <c r="R5" s="154">
        <f>SUM(R4+Q5)</f>
        <v>5925</v>
      </c>
      <c r="S5" s="194">
        <f t="shared" ref="S5:S28" si="1">SUM(R5/P5)*100</f>
        <v>123.4375</v>
      </c>
      <c r="T5" s="366">
        <v>0</v>
      </c>
      <c r="U5" s="367">
        <v>0</v>
      </c>
      <c r="V5" s="366">
        <v>0</v>
      </c>
      <c r="W5" s="367">
        <v>0</v>
      </c>
    </row>
    <row r="6" spans="1:23" ht="26.25" x14ac:dyDescent="0.4">
      <c r="A6" s="184">
        <v>1</v>
      </c>
      <c r="B6" s="184">
        <v>3</v>
      </c>
      <c r="C6" s="185">
        <v>42826</v>
      </c>
      <c r="D6" s="189">
        <v>42916</v>
      </c>
      <c r="E6" s="193">
        <v>53961.68</v>
      </c>
      <c r="F6" s="155">
        <f t="shared" ref="F6:F28" si="2">F5+E6</f>
        <v>161885.04</v>
      </c>
      <c r="G6" s="154">
        <v>9668</v>
      </c>
      <c r="H6" s="154">
        <f t="shared" ref="H6:H22" si="3">SUM(H5+G6)</f>
        <v>9668</v>
      </c>
      <c r="I6" s="194">
        <f t="shared" ref="I6:I22" si="4">SUM(H6/F6)*100</f>
        <v>5.9721392415259613</v>
      </c>
      <c r="J6" s="193">
        <v>205028.32</v>
      </c>
      <c r="K6" s="155">
        <f t="shared" ref="K6:K28" si="5">K5+J6</f>
        <v>615084.96</v>
      </c>
      <c r="L6" s="154">
        <v>5861</v>
      </c>
      <c r="M6" s="154">
        <f t="shared" ref="M6:M7" si="6">SUM(M5+L6)</f>
        <v>5861</v>
      </c>
      <c r="N6" s="194">
        <f t="shared" si="0"/>
        <v>0.95287649367983251</v>
      </c>
      <c r="O6" s="193">
        <v>2400</v>
      </c>
      <c r="P6" s="155">
        <f t="shared" ref="P6:P28" si="7">P5+O6</f>
        <v>7200</v>
      </c>
      <c r="Q6" s="154">
        <v>2500</v>
      </c>
      <c r="R6" s="154">
        <f t="shared" ref="R6:R7" si="8">SUM(R5+Q6)</f>
        <v>8425</v>
      </c>
      <c r="S6" s="194">
        <f t="shared" si="1"/>
        <v>117.01388888888889</v>
      </c>
      <c r="T6" s="366">
        <v>0</v>
      </c>
      <c r="U6" s="367">
        <v>0</v>
      </c>
      <c r="V6" s="366">
        <v>0</v>
      </c>
      <c r="W6" s="367">
        <v>0</v>
      </c>
    </row>
    <row r="7" spans="1:23" ht="26.25" x14ac:dyDescent="0.4">
      <c r="A7" s="184">
        <v>1</v>
      </c>
      <c r="B7" s="184">
        <v>4</v>
      </c>
      <c r="C7" s="185">
        <v>42917</v>
      </c>
      <c r="D7" s="189">
        <v>43008</v>
      </c>
      <c r="E7" s="193">
        <v>53961.68</v>
      </c>
      <c r="F7" s="155">
        <f t="shared" si="2"/>
        <v>215846.72</v>
      </c>
      <c r="G7" s="154">
        <v>47700</v>
      </c>
      <c r="H7" s="154">
        <f t="shared" si="3"/>
        <v>57368</v>
      </c>
      <c r="I7" s="194">
        <f t="shared" si="4"/>
        <v>26.578119880626399</v>
      </c>
      <c r="J7" s="193">
        <v>205028.32</v>
      </c>
      <c r="K7" s="155">
        <f t="shared" si="5"/>
        <v>820113.28</v>
      </c>
      <c r="L7" s="154">
        <v>657092</v>
      </c>
      <c r="M7" s="154">
        <f t="shared" si="6"/>
        <v>662953</v>
      </c>
      <c r="N7" s="194">
        <f t="shared" si="0"/>
        <v>80.83675952668392</v>
      </c>
      <c r="O7" s="193">
        <v>2400</v>
      </c>
      <c r="P7" s="155">
        <f t="shared" si="7"/>
        <v>9600</v>
      </c>
      <c r="Q7" s="154">
        <v>2500</v>
      </c>
      <c r="R7" s="154">
        <f t="shared" si="8"/>
        <v>10925</v>
      </c>
      <c r="S7" s="194">
        <f t="shared" si="1"/>
        <v>113.80208333333333</v>
      </c>
      <c r="T7" s="366">
        <v>0</v>
      </c>
      <c r="U7" s="367">
        <v>0</v>
      </c>
      <c r="V7" s="366">
        <v>0</v>
      </c>
      <c r="W7" s="367">
        <v>0</v>
      </c>
    </row>
    <row r="8" spans="1:23" ht="26.25" x14ac:dyDescent="0.4">
      <c r="A8" s="184">
        <v>2</v>
      </c>
      <c r="B8" s="184">
        <v>1</v>
      </c>
      <c r="C8" s="185">
        <v>43009</v>
      </c>
      <c r="D8" s="189">
        <v>43100</v>
      </c>
      <c r="E8" s="193">
        <v>53961.68</v>
      </c>
      <c r="F8" s="155">
        <f t="shared" si="2"/>
        <v>269808.40000000002</v>
      </c>
      <c r="G8" s="154">
        <v>11014</v>
      </c>
      <c r="H8" s="154">
        <f>SUM(H7+G8)</f>
        <v>68382</v>
      </c>
      <c r="I8" s="194">
        <f>SUM(H27/F27)*100</f>
        <v>71.518575774512556</v>
      </c>
      <c r="J8" s="193">
        <v>205028.32</v>
      </c>
      <c r="K8" s="155">
        <f t="shared" si="5"/>
        <v>1025141.6000000001</v>
      </c>
      <c r="L8" s="154">
        <v>202324</v>
      </c>
      <c r="M8" s="154">
        <f>SUM(M7+L8)</f>
        <v>865277</v>
      </c>
      <c r="N8" s="194">
        <f t="shared" si="0"/>
        <v>84.405607966743318</v>
      </c>
      <c r="O8" s="193">
        <v>2400</v>
      </c>
      <c r="P8" s="155">
        <f t="shared" si="7"/>
        <v>12000</v>
      </c>
      <c r="Q8" s="154">
        <v>0</v>
      </c>
      <c r="R8" s="154">
        <f>SUM(R7+Q8)</f>
        <v>10925</v>
      </c>
      <c r="S8" s="194">
        <f t="shared" si="1"/>
        <v>91.041666666666671</v>
      </c>
      <c r="T8" s="366">
        <v>0</v>
      </c>
      <c r="U8" s="367">
        <v>0</v>
      </c>
      <c r="V8" s="366">
        <v>0</v>
      </c>
      <c r="W8" s="367">
        <v>0</v>
      </c>
    </row>
    <row r="9" spans="1:23" ht="26.25" x14ac:dyDescent="0.4">
      <c r="A9" s="184">
        <v>2</v>
      </c>
      <c r="B9" s="184">
        <v>2</v>
      </c>
      <c r="C9" s="185">
        <v>43101</v>
      </c>
      <c r="D9" s="189">
        <v>43190</v>
      </c>
      <c r="E9" s="193">
        <v>53961.68</v>
      </c>
      <c r="F9" s="155">
        <f t="shared" si="2"/>
        <v>323770.08</v>
      </c>
      <c r="G9" s="154">
        <v>11160</v>
      </c>
      <c r="H9" s="154">
        <f t="shared" si="3"/>
        <v>79542</v>
      </c>
      <c r="I9" s="194">
        <f t="shared" si="4"/>
        <v>24.567433778933495</v>
      </c>
      <c r="J9" s="193">
        <v>205028.32</v>
      </c>
      <c r="K9" s="155">
        <f t="shared" si="5"/>
        <v>1230169.9200000002</v>
      </c>
      <c r="L9" s="154">
        <v>278804</v>
      </c>
      <c r="M9" s="154">
        <f t="shared" ref="M9:M11" si="9">SUM(M8+L9)</f>
        <v>1144081</v>
      </c>
      <c r="N9" s="194">
        <f t="shared" si="0"/>
        <v>93.001867579399104</v>
      </c>
      <c r="O9" s="193">
        <v>2400</v>
      </c>
      <c r="P9" s="155">
        <f t="shared" si="7"/>
        <v>14400</v>
      </c>
      <c r="Q9" s="154">
        <v>2500</v>
      </c>
      <c r="R9" s="154">
        <f t="shared" ref="R9:R11" si="10">SUM(R8+Q9)</f>
        <v>13425</v>
      </c>
      <c r="S9" s="194">
        <f t="shared" si="1"/>
        <v>93.229166666666657</v>
      </c>
      <c r="T9" s="366">
        <v>0</v>
      </c>
      <c r="U9" s="367">
        <v>0</v>
      </c>
      <c r="V9" s="366">
        <v>0</v>
      </c>
      <c r="W9" s="367">
        <v>0</v>
      </c>
    </row>
    <row r="10" spans="1:23" ht="26.25" x14ac:dyDescent="0.4">
      <c r="A10" s="184">
        <v>2</v>
      </c>
      <c r="B10" s="184">
        <v>3</v>
      </c>
      <c r="C10" s="185">
        <v>43191</v>
      </c>
      <c r="D10" s="189">
        <v>43281</v>
      </c>
      <c r="E10" s="193">
        <v>53961.68</v>
      </c>
      <c r="F10" s="155">
        <f t="shared" si="2"/>
        <v>377731.76</v>
      </c>
      <c r="G10" s="154">
        <v>138045</v>
      </c>
      <c r="H10" s="154">
        <f t="shared" si="3"/>
        <v>217587</v>
      </c>
      <c r="I10" s="194">
        <f t="shared" si="4"/>
        <v>57.603575616728655</v>
      </c>
      <c r="J10" s="193">
        <v>205028.32</v>
      </c>
      <c r="K10" s="155">
        <f t="shared" si="5"/>
        <v>1435198.2400000002</v>
      </c>
      <c r="L10" s="154">
        <v>439296</v>
      </c>
      <c r="M10" s="154">
        <f t="shared" si="9"/>
        <v>1583377</v>
      </c>
      <c r="N10" s="194">
        <f t="shared" si="0"/>
        <v>110.32461968459491</v>
      </c>
      <c r="O10" s="193">
        <v>2400</v>
      </c>
      <c r="P10" s="155">
        <f t="shared" si="7"/>
        <v>16800</v>
      </c>
      <c r="Q10" s="154">
        <v>5000</v>
      </c>
      <c r="R10" s="154">
        <f t="shared" si="10"/>
        <v>18425</v>
      </c>
      <c r="S10" s="194">
        <f t="shared" si="1"/>
        <v>109.67261904761905</v>
      </c>
      <c r="T10" s="366">
        <v>0</v>
      </c>
      <c r="U10" s="367">
        <v>0</v>
      </c>
      <c r="V10" s="366">
        <v>0</v>
      </c>
      <c r="W10" s="367">
        <v>0</v>
      </c>
    </row>
    <row r="11" spans="1:23" ht="26.25" x14ac:dyDescent="0.4">
      <c r="A11" s="184">
        <v>2</v>
      </c>
      <c r="B11" s="184">
        <v>4</v>
      </c>
      <c r="C11" s="185">
        <v>43282</v>
      </c>
      <c r="D11" s="189">
        <v>43373</v>
      </c>
      <c r="E11" s="193">
        <v>53961.68</v>
      </c>
      <c r="F11" s="155">
        <f t="shared" si="2"/>
        <v>431693.44</v>
      </c>
      <c r="G11" s="154">
        <v>0</v>
      </c>
      <c r="H11" s="154">
        <f t="shared" si="3"/>
        <v>217587</v>
      </c>
      <c r="I11" s="194">
        <f t="shared" si="4"/>
        <v>50.403128664637578</v>
      </c>
      <c r="J11" s="193">
        <v>205028.32</v>
      </c>
      <c r="K11" s="155">
        <f t="shared" si="5"/>
        <v>1640226.5600000003</v>
      </c>
      <c r="L11" s="154">
        <v>166454</v>
      </c>
      <c r="M11" s="154">
        <f t="shared" si="9"/>
        <v>1749831</v>
      </c>
      <c r="N11" s="194">
        <f t="shared" si="0"/>
        <v>106.68227442921054</v>
      </c>
      <c r="O11" s="193">
        <v>2400</v>
      </c>
      <c r="P11" s="155">
        <f t="shared" si="7"/>
        <v>19200</v>
      </c>
      <c r="Q11" s="154">
        <v>0</v>
      </c>
      <c r="R11" s="154">
        <f t="shared" si="10"/>
        <v>18425</v>
      </c>
      <c r="S11" s="194">
        <f t="shared" si="1"/>
        <v>95.963541666666657</v>
      </c>
      <c r="T11" s="366">
        <v>0</v>
      </c>
      <c r="U11" s="367">
        <v>0</v>
      </c>
      <c r="V11" s="366">
        <v>0</v>
      </c>
      <c r="W11" s="367">
        <v>0</v>
      </c>
    </row>
    <row r="12" spans="1:23" ht="26.25" x14ac:dyDescent="0.4">
      <c r="A12" s="184">
        <v>3</v>
      </c>
      <c r="B12" s="184">
        <v>1</v>
      </c>
      <c r="C12" s="185">
        <v>43374</v>
      </c>
      <c r="D12" s="189">
        <v>43465</v>
      </c>
      <c r="E12" s="193">
        <v>53961.68</v>
      </c>
      <c r="F12" s="155">
        <f t="shared" si="2"/>
        <v>485655.12</v>
      </c>
      <c r="G12" s="154">
        <v>489295</v>
      </c>
      <c r="H12" s="154">
        <f>SUM(H11+G12)</f>
        <v>706882</v>
      </c>
      <c r="I12" s="194">
        <f t="shared" si="4"/>
        <v>145.55225938933785</v>
      </c>
      <c r="J12" s="193">
        <v>205028.32</v>
      </c>
      <c r="K12" s="155">
        <f t="shared" si="5"/>
        <v>1845254.8800000004</v>
      </c>
      <c r="L12" s="154">
        <v>572830</v>
      </c>
      <c r="M12" s="154">
        <f>SUM(M11+L12)</f>
        <v>2322661</v>
      </c>
      <c r="N12" s="194">
        <f t="shared" si="0"/>
        <v>125.87209632525128</v>
      </c>
      <c r="O12" s="193">
        <v>2400</v>
      </c>
      <c r="P12" s="155">
        <f t="shared" si="7"/>
        <v>21600</v>
      </c>
      <c r="Q12" s="154">
        <v>2500</v>
      </c>
      <c r="R12" s="154">
        <f>SUM(R11+Q12)</f>
        <v>20925</v>
      </c>
      <c r="S12" s="194">
        <f t="shared" si="1"/>
        <v>96.875</v>
      </c>
      <c r="T12" s="366">
        <v>0</v>
      </c>
      <c r="U12" s="367">
        <v>0</v>
      </c>
      <c r="V12" s="366">
        <v>0</v>
      </c>
      <c r="W12" s="367">
        <v>0</v>
      </c>
    </row>
    <row r="13" spans="1:23" ht="26.25" x14ac:dyDescent="0.4">
      <c r="A13" s="184">
        <v>3</v>
      </c>
      <c r="B13" s="184">
        <v>2</v>
      </c>
      <c r="C13" s="185">
        <v>43466</v>
      </c>
      <c r="D13" s="189">
        <v>43555</v>
      </c>
      <c r="E13" s="193">
        <v>53961.68</v>
      </c>
      <c r="F13" s="155">
        <f t="shared" si="2"/>
        <v>539616.80000000005</v>
      </c>
      <c r="G13" s="154">
        <v>94556</v>
      </c>
      <c r="H13" s="154">
        <f t="shared" si="3"/>
        <v>801438</v>
      </c>
      <c r="I13" s="194">
        <f t="shared" si="4"/>
        <v>148.51983852244777</v>
      </c>
      <c r="J13" s="193">
        <v>205028.32</v>
      </c>
      <c r="K13" s="155">
        <f t="shared" si="5"/>
        <v>2050283.2000000004</v>
      </c>
      <c r="L13" s="154">
        <v>489974</v>
      </c>
      <c r="M13" s="154">
        <f t="shared" ref="M13:M22" si="11">SUM(M12+L13)</f>
        <v>2812635</v>
      </c>
      <c r="N13" s="194">
        <f t="shared" si="0"/>
        <v>137.18275602121693</v>
      </c>
      <c r="O13" s="193">
        <v>2400</v>
      </c>
      <c r="P13" s="155">
        <f t="shared" si="7"/>
        <v>24000</v>
      </c>
      <c r="Q13" s="154">
        <v>5000</v>
      </c>
      <c r="R13" s="154">
        <f t="shared" ref="R13:R22" si="12">SUM(R12+Q13)</f>
        <v>25925</v>
      </c>
      <c r="S13" s="194">
        <f t="shared" si="1"/>
        <v>108.02083333333334</v>
      </c>
      <c r="T13" s="366">
        <v>0</v>
      </c>
      <c r="U13" s="367">
        <v>0</v>
      </c>
      <c r="V13" s="366">
        <v>0</v>
      </c>
      <c r="W13" s="367">
        <v>0</v>
      </c>
    </row>
    <row r="14" spans="1:23" ht="26.25" x14ac:dyDescent="0.4">
      <c r="A14" s="184">
        <v>3</v>
      </c>
      <c r="B14" s="184">
        <v>3</v>
      </c>
      <c r="C14" s="185">
        <v>43556</v>
      </c>
      <c r="D14" s="189">
        <v>43646</v>
      </c>
      <c r="E14" s="193">
        <v>53961.68</v>
      </c>
      <c r="F14" s="155">
        <f t="shared" si="2"/>
        <v>593578.4800000001</v>
      </c>
      <c r="G14" s="154">
        <v>14834</v>
      </c>
      <c r="H14" s="154">
        <f t="shared" si="3"/>
        <v>816272</v>
      </c>
      <c r="I14" s="194">
        <f t="shared" si="4"/>
        <v>137.51711483879939</v>
      </c>
      <c r="J14" s="193">
        <v>205028.32</v>
      </c>
      <c r="K14" s="155">
        <f t="shared" si="5"/>
        <v>2255311.5200000005</v>
      </c>
      <c r="L14" s="154">
        <v>30921</v>
      </c>
      <c r="M14" s="154">
        <f t="shared" si="11"/>
        <v>2843556</v>
      </c>
      <c r="N14" s="194">
        <f t="shared" si="0"/>
        <v>126.08262649232596</v>
      </c>
      <c r="O14" s="193">
        <v>2400</v>
      </c>
      <c r="P14" s="155">
        <f t="shared" si="7"/>
        <v>26400</v>
      </c>
      <c r="Q14" s="154">
        <v>5000</v>
      </c>
      <c r="R14" s="154">
        <f t="shared" si="12"/>
        <v>30925</v>
      </c>
      <c r="S14" s="194">
        <f t="shared" si="1"/>
        <v>117.14015151515152</v>
      </c>
      <c r="T14" s="366">
        <v>0</v>
      </c>
      <c r="U14" s="367">
        <v>0</v>
      </c>
      <c r="V14" s="366">
        <v>0</v>
      </c>
      <c r="W14" s="367">
        <v>0</v>
      </c>
    </row>
    <row r="15" spans="1:23" ht="26.25" x14ac:dyDescent="0.4">
      <c r="A15" s="184">
        <v>3</v>
      </c>
      <c r="B15" s="184">
        <v>4</v>
      </c>
      <c r="C15" s="185">
        <v>43653</v>
      </c>
      <c r="D15" s="189">
        <v>43738</v>
      </c>
      <c r="E15" s="193">
        <v>53961.68</v>
      </c>
      <c r="F15" s="155">
        <f t="shared" si="2"/>
        <v>647540.16000000015</v>
      </c>
      <c r="G15" s="154">
        <v>24078</v>
      </c>
      <c r="H15" s="154">
        <f t="shared" si="3"/>
        <v>840350</v>
      </c>
      <c r="I15" s="194">
        <f t="shared" si="4"/>
        <v>129.77573468184579</v>
      </c>
      <c r="J15" s="193">
        <v>205028.32</v>
      </c>
      <c r="K15" s="155">
        <f t="shared" si="5"/>
        <v>2460339.8400000003</v>
      </c>
      <c r="L15" s="154">
        <v>109504</v>
      </c>
      <c r="M15" s="154">
        <f t="shared" si="11"/>
        <v>2953060</v>
      </c>
      <c r="N15" s="194">
        <f t="shared" si="0"/>
        <v>120.02650820790674</v>
      </c>
      <c r="O15" s="193">
        <v>2400</v>
      </c>
      <c r="P15" s="155">
        <f t="shared" si="7"/>
        <v>28800</v>
      </c>
      <c r="Q15" s="154">
        <v>2500</v>
      </c>
      <c r="R15" s="154">
        <f t="shared" si="12"/>
        <v>33425</v>
      </c>
      <c r="S15" s="194">
        <f t="shared" si="1"/>
        <v>116.05902777777777</v>
      </c>
      <c r="T15" s="366">
        <v>0</v>
      </c>
      <c r="U15" s="367">
        <v>0</v>
      </c>
      <c r="V15" s="366">
        <v>0</v>
      </c>
      <c r="W15" s="367">
        <v>0</v>
      </c>
    </row>
    <row r="16" spans="1:23" ht="26.25" x14ac:dyDescent="0.4">
      <c r="A16" s="184">
        <v>4</v>
      </c>
      <c r="B16" s="184">
        <v>1</v>
      </c>
      <c r="C16" s="185">
        <v>43739</v>
      </c>
      <c r="D16" s="189">
        <v>43830</v>
      </c>
      <c r="E16" s="193">
        <v>53961.68</v>
      </c>
      <c r="F16" s="155">
        <f t="shared" si="2"/>
        <v>701501.8400000002</v>
      </c>
      <c r="G16" s="154">
        <v>3011</v>
      </c>
      <c r="H16" s="154">
        <f t="shared" si="3"/>
        <v>843361</v>
      </c>
      <c r="I16" s="194">
        <f t="shared" si="4"/>
        <v>120.22220782770859</v>
      </c>
      <c r="J16" s="193">
        <v>205028.32</v>
      </c>
      <c r="K16" s="155">
        <f t="shared" si="5"/>
        <v>2665368.16</v>
      </c>
      <c r="L16" s="154">
        <v>25437</v>
      </c>
      <c r="M16" s="154">
        <f t="shared" si="11"/>
        <v>2978497</v>
      </c>
      <c r="N16" s="194">
        <f t="shared" si="0"/>
        <v>111.74805209648785</v>
      </c>
      <c r="O16" s="193">
        <v>2400</v>
      </c>
      <c r="P16" s="155">
        <f t="shared" si="7"/>
        <v>31200</v>
      </c>
      <c r="Q16" s="154">
        <v>5000</v>
      </c>
      <c r="R16" s="154">
        <f t="shared" si="12"/>
        <v>38425</v>
      </c>
      <c r="S16" s="194">
        <f t="shared" si="1"/>
        <v>123.15705128205127</v>
      </c>
      <c r="T16" s="366">
        <v>0</v>
      </c>
      <c r="U16" s="367">
        <v>0</v>
      </c>
      <c r="V16" s="366">
        <v>0</v>
      </c>
      <c r="W16" s="367">
        <v>0</v>
      </c>
    </row>
    <row r="17" spans="1:23" ht="26.25" x14ac:dyDescent="0.4">
      <c r="A17" s="184">
        <v>4</v>
      </c>
      <c r="B17" s="184">
        <v>2</v>
      </c>
      <c r="C17" s="185">
        <v>43831</v>
      </c>
      <c r="D17" s="189">
        <v>43921</v>
      </c>
      <c r="E17" s="193">
        <v>53961.68</v>
      </c>
      <c r="F17" s="155">
        <f t="shared" si="2"/>
        <v>755463.52000000025</v>
      </c>
      <c r="G17" s="154">
        <v>11700</v>
      </c>
      <c r="H17" s="154">
        <f t="shared" si="3"/>
        <v>855061</v>
      </c>
      <c r="I17" s="194">
        <f t="shared" si="4"/>
        <v>113.18362533243163</v>
      </c>
      <c r="J17" s="193">
        <v>205028.32</v>
      </c>
      <c r="K17" s="155">
        <f t="shared" si="5"/>
        <v>2870396.48</v>
      </c>
      <c r="L17" s="154">
        <v>6862</v>
      </c>
      <c r="M17" s="154">
        <f t="shared" si="11"/>
        <v>2985359</v>
      </c>
      <c r="N17" s="194">
        <f t="shared" si="0"/>
        <v>104.00510942655559</v>
      </c>
      <c r="O17" s="193">
        <v>2400</v>
      </c>
      <c r="P17" s="155">
        <f t="shared" si="7"/>
        <v>33600</v>
      </c>
      <c r="Q17" s="154">
        <v>2500</v>
      </c>
      <c r="R17" s="154">
        <f t="shared" si="12"/>
        <v>40925</v>
      </c>
      <c r="S17" s="194">
        <f t="shared" si="1"/>
        <v>121.80059523809523</v>
      </c>
      <c r="T17" s="366">
        <v>0</v>
      </c>
      <c r="U17" s="367">
        <v>0</v>
      </c>
      <c r="V17" s="366">
        <v>0</v>
      </c>
      <c r="W17" s="367">
        <v>0</v>
      </c>
    </row>
    <row r="18" spans="1:23" ht="26.25" x14ac:dyDescent="0.4">
      <c r="A18" s="184">
        <v>4</v>
      </c>
      <c r="B18" s="184">
        <v>3</v>
      </c>
      <c r="C18" s="185">
        <v>43922</v>
      </c>
      <c r="D18" s="189">
        <v>44012</v>
      </c>
      <c r="E18" s="193">
        <v>53961.68</v>
      </c>
      <c r="F18" s="155">
        <f t="shared" si="2"/>
        <v>809425.2000000003</v>
      </c>
      <c r="G18" s="154">
        <v>49875</v>
      </c>
      <c r="H18" s="154">
        <f t="shared" si="3"/>
        <v>904936</v>
      </c>
      <c r="I18" s="194">
        <f t="shared" si="4"/>
        <v>111.79983029932843</v>
      </c>
      <c r="J18" s="193">
        <v>205028.32</v>
      </c>
      <c r="K18" s="155">
        <f t="shared" si="5"/>
        <v>3075424.8</v>
      </c>
      <c r="L18" s="154">
        <v>155356</v>
      </c>
      <c r="M18" s="154">
        <f t="shared" si="11"/>
        <v>3140715</v>
      </c>
      <c r="N18" s="194">
        <f t="shared" si="0"/>
        <v>102.1229652567021</v>
      </c>
      <c r="O18" s="193">
        <v>2400</v>
      </c>
      <c r="P18" s="155">
        <f t="shared" si="7"/>
        <v>36000</v>
      </c>
      <c r="Q18" s="154">
        <v>2500</v>
      </c>
      <c r="R18" s="154">
        <f t="shared" si="12"/>
        <v>43425</v>
      </c>
      <c r="S18" s="194">
        <f t="shared" si="1"/>
        <v>120.625</v>
      </c>
      <c r="T18" s="366">
        <v>0</v>
      </c>
      <c r="U18" s="367">
        <v>0</v>
      </c>
      <c r="V18" s="366">
        <v>0</v>
      </c>
      <c r="W18" s="367">
        <v>0</v>
      </c>
    </row>
    <row r="19" spans="1:23" ht="26.25" x14ac:dyDescent="0.4">
      <c r="A19" s="184">
        <v>4</v>
      </c>
      <c r="B19" s="184">
        <v>4</v>
      </c>
      <c r="C19" s="185">
        <v>44013</v>
      </c>
      <c r="D19" s="189">
        <v>44104</v>
      </c>
      <c r="E19" s="193">
        <v>53961.68</v>
      </c>
      <c r="F19" s="155">
        <f t="shared" si="2"/>
        <v>863386.88000000035</v>
      </c>
      <c r="G19" s="154">
        <v>21287</v>
      </c>
      <c r="H19" s="154">
        <f t="shared" si="3"/>
        <v>926223</v>
      </c>
      <c r="I19" s="194">
        <f t="shared" si="4"/>
        <v>107.27786366176883</v>
      </c>
      <c r="J19" s="193">
        <v>205028.32</v>
      </c>
      <c r="K19" s="155">
        <f t="shared" si="5"/>
        <v>3280453.1199999996</v>
      </c>
      <c r="L19" s="154">
        <v>177878</v>
      </c>
      <c r="M19" s="154">
        <f t="shared" si="11"/>
        <v>3318593</v>
      </c>
      <c r="N19" s="194">
        <f t="shared" si="0"/>
        <v>101.1626406049662</v>
      </c>
      <c r="O19" s="193">
        <v>2400</v>
      </c>
      <c r="P19" s="155">
        <f t="shared" si="7"/>
        <v>38400</v>
      </c>
      <c r="Q19" s="154">
        <v>0</v>
      </c>
      <c r="R19" s="154">
        <f t="shared" si="12"/>
        <v>43425</v>
      </c>
      <c r="S19" s="194">
        <f t="shared" si="1"/>
        <v>113.0859375</v>
      </c>
      <c r="T19" s="366">
        <v>0</v>
      </c>
      <c r="U19" s="367">
        <v>0</v>
      </c>
      <c r="V19" s="366">
        <v>0</v>
      </c>
      <c r="W19" s="367">
        <v>0</v>
      </c>
    </row>
    <row r="20" spans="1:23" ht="26.25" x14ac:dyDescent="0.4">
      <c r="A20" s="184">
        <v>5</v>
      </c>
      <c r="B20" s="184">
        <v>1</v>
      </c>
      <c r="C20" s="185">
        <v>44105</v>
      </c>
      <c r="D20" s="189">
        <v>44196</v>
      </c>
      <c r="E20" s="193">
        <v>53961.68</v>
      </c>
      <c r="F20" s="155">
        <f t="shared" si="2"/>
        <v>917348.56000000041</v>
      </c>
      <c r="G20" s="154">
        <v>0</v>
      </c>
      <c r="H20" s="154">
        <f t="shared" si="3"/>
        <v>926223</v>
      </c>
      <c r="I20" s="194">
        <f t="shared" si="4"/>
        <v>100.96740109342947</v>
      </c>
      <c r="J20" s="193">
        <v>205028.32</v>
      </c>
      <c r="K20" s="155">
        <f t="shared" si="5"/>
        <v>3485481.4399999995</v>
      </c>
      <c r="L20" s="154">
        <v>1036579</v>
      </c>
      <c r="M20" s="154">
        <f t="shared" si="11"/>
        <v>4355172</v>
      </c>
      <c r="N20" s="194">
        <f t="shared" si="0"/>
        <v>124.9518057970207</v>
      </c>
      <c r="O20" s="193">
        <v>2400</v>
      </c>
      <c r="P20" s="155">
        <f t="shared" si="7"/>
        <v>40800</v>
      </c>
      <c r="Q20" s="154">
        <v>2500</v>
      </c>
      <c r="R20" s="154">
        <f t="shared" si="12"/>
        <v>45925</v>
      </c>
      <c r="S20" s="194">
        <f t="shared" si="1"/>
        <v>112.56127450980394</v>
      </c>
      <c r="T20" s="366">
        <v>0</v>
      </c>
      <c r="U20" s="367">
        <v>0</v>
      </c>
      <c r="V20" s="366">
        <v>0</v>
      </c>
      <c r="W20" s="367">
        <v>0</v>
      </c>
    </row>
    <row r="21" spans="1:23" ht="26.25" x14ac:dyDescent="0.4">
      <c r="A21" s="184">
        <v>5</v>
      </c>
      <c r="B21" s="184">
        <v>2</v>
      </c>
      <c r="C21" s="185">
        <v>44197</v>
      </c>
      <c r="D21" s="189">
        <v>44286</v>
      </c>
      <c r="E21" s="193">
        <v>53961.68</v>
      </c>
      <c r="F21" s="155">
        <f t="shared" si="2"/>
        <v>971310.24000000046</v>
      </c>
      <c r="G21" s="154">
        <v>0</v>
      </c>
      <c r="H21" s="154">
        <f t="shared" si="3"/>
        <v>926223</v>
      </c>
      <c r="I21" s="194">
        <f t="shared" si="4"/>
        <v>95.358101032683393</v>
      </c>
      <c r="J21" s="193">
        <v>205028.32</v>
      </c>
      <c r="K21" s="155">
        <f t="shared" si="5"/>
        <v>3690509.7599999993</v>
      </c>
      <c r="L21" s="154">
        <v>495911</v>
      </c>
      <c r="M21" s="154">
        <f t="shared" si="11"/>
        <v>4851083</v>
      </c>
      <c r="N21" s="194">
        <f>SUM(M21/K21)*100</f>
        <v>131.44750496473424</v>
      </c>
      <c r="O21" s="193">
        <v>2400</v>
      </c>
      <c r="P21" s="155">
        <f t="shared" si="7"/>
        <v>43200</v>
      </c>
      <c r="Q21" s="154">
        <v>2500</v>
      </c>
      <c r="R21" s="154">
        <f t="shared" si="12"/>
        <v>48425</v>
      </c>
      <c r="S21" s="194">
        <f t="shared" si="1"/>
        <v>112.09490740740742</v>
      </c>
      <c r="T21" s="366">
        <v>0</v>
      </c>
      <c r="U21" s="367">
        <v>0</v>
      </c>
      <c r="V21" s="366">
        <v>0</v>
      </c>
      <c r="W21" s="367">
        <v>0</v>
      </c>
    </row>
    <row r="22" spans="1:23" ht="26.25" x14ac:dyDescent="0.4">
      <c r="A22" s="184">
        <v>5</v>
      </c>
      <c r="B22" s="184">
        <v>3</v>
      </c>
      <c r="C22" s="185">
        <v>44287</v>
      </c>
      <c r="D22" s="189">
        <v>44377</v>
      </c>
      <c r="E22" s="193">
        <v>53961.68</v>
      </c>
      <c r="F22" s="155">
        <f t="shared" si="2"/>
        <v>1025271.9200000005</v>
      </c>
      <c r="G22" s="154">
        <v>0</v>
      </c>
      <c r="H22" s="154">
        <f t="shared" si="3"/>
        <v>926223</v>
      </c>
      <c r="I22" s="194">
        <f t="shared" si="4"/>
        <v>90.339253609910585</v>
      </c>
      <c r="J22" s="193">
        <v>205028.32</v>
      </c>
      <c r="K22" s="155">
        <f t="shared" si="5"/>
        <v>3895538.0799999991</v>
      </c>
      <c r="L22" s="154">
        <v>126685</v>
      </c>
      <c r="M22" s="154">
        <f t="shared" si="11"/>
        <v>4977768</v>
      </c>
      <c r="N22" s="194">
        <f t="shared" si="0"/>
        <v>127.78126917963542</v>
      </c>
      <c r="O22" s="193">
        <v>2400</v>
      </c>
      <c r="P22" s="155">
        <f t="shared" si="7"/>
        <v>45600</v>
      </c>
      <c r="Q22" s="154">
        <v>0</v>
      </c>
      <c r="R22" s="154">
        <f t="shared" si="12"/>
        <v>48425</v>
      </c>
      <c r="S22" s="194">
        <f t="shared" si="1"/>
        <v>106.19517543859649</v>
      </c>
      <c r="T22" s="366">
        <v>0</v>
      </c>
      <c r="U22" s="367">
        <v>0</v>
      </c>
      <c r="V22" s="366">
        <v>0</v>
      </c>
      <c r="W22" s="367">
        <v>0</v>
      </c>
    </row>
    <row r="23" spans="1:23" ht="26.25" x14ac:dyDescent="0.4">
      <c r="A23" s="184">
        <v>5</v>
      </c>
      <c r="B23" s="184">
        <v>4</v>
      </c>
      <c r="C23" s="185">
        <v>44378</v>
      </c>
      <c r="D23" s="189">
        <v>44469</v>
      </c>
      <c r="E23" s="193">
        <v>53961.68</v>
      </c>
      <c r="F23" s="155">
        <f t="shared" si="2"/>
        <v>1079233.6000000006</v>
      </c>
      <c r="G23" s="154">
        <v>0</v>
      </c>
      <c r="H23" s="154">
        <f>SUM(H22+G23)</f>
        <v>926223</v>
      </c>
      <c r="I23" s="194">
        <f>SUM(H23/F23)*100</f>
        <v>85.822290929415061</v>
      </c>
      <c r="J23" s="193">
        <v>205028.32</v>
      </c>
      <c r="K23" s="155">
        <f t="shared" si="5"/>
        <v>4100566.399999999</v>
      </c>
      <c r="L23" s="154">
        <v>755</v>
      </c>
      <c r="M23" s="154">
        <f>SUM(M22+L23)</f>
        <v>4978523</v>
      </c>
      <c r="N23" s="194">
        <f t="shared" si="0"/>
        <v>121.41061781123703</v>
      </c>
      <c r="O23" s="193">
        <v>2400</v>
      </c>
      <c r="P23" s="155">
        <f t="shared" si="7"/>
        <v>48000</v>
      </c>
      <c r="Q23" s="154">
        <v>1000</v>
      </c>
      <c r="R23" s="154">
        <f>SUM(R22+Q23)</f>
        <v>49425</v>
      </c>
      <c r="S23" s="194">
        <f t="shared" si="1"/>
        <v>102.96875000000001</v>
      </c>
      <c r="T23" s="366">
        <v>0</v>
      </c>
      <c r="U23" s="367">
        <v>0</v>
      </c>
      <c r="V23" s="366">
        <v>0</v>
      </c>
      <c r="W23" s="367">
        <v>0</v>
      </c>
    </row>
    <row r="24" spans="1:23" ht="26.25" x14ac:dyDescent="0.4">
      <c r="A24" s="184">
        <v>6</v>
      </c>
      <c r="B24" s="184">
        <v>1</v>
      </c>
      <c r="C24" s="185">
        <v>44470</v>
      </c>
      <c r="D24" s="189">
        <v>44561</v>
      </c>
      <c r="E24" s="193">
        <v>53961.68</v>
      </c>
      <c r="F24" s="155">
        <f t="shared" si="2"/>
        <v>1133195.2800000005</v>
      </c>
      <c r="G24" s="154">
        <v>0</v>
      </c>
      <c r="H24" s="154">
        <f t="shared" ref="H24:H26" si="13">SUM(H23+G24)</f>
        <v>926223</v>
      </c>
      <c r="I24" s="194">
        <f t="shared" ref="I24:I26" si="14">SUM(H24/F24)*100</f>
        <v>81.73551517087148</v>
      </c>
      <c r="J24" s="193">
        <v>205028.32</v>
      </c>
      <c r="K24" s="155">
        <f t="shared" si="5"/>
        <v>4305594.7199999988</v>
      </c>
      <c r="L24" s="154">
        <v>0</v>
      </c>
      <c r="M24" s="154">
        <f t="shared" ref="M24:M26" si="15">SUM(M23+L24)</f>
        <v>4978523</v>
      </c>
      <c r="N24" s="194">
        <f t="shared" si="0"/>
        <v>115.62915982022575</v>
      </c>
      <c r="O24" s="193">
        <v>2400</v>
      </c>
      <c r="P24" s="155">
        <f t="shared" si="7"/>
        <v>50400</v>
      </c>
      <c r="Q24" s="154">
        <v>0</v>
      </c>
      <c r="R24" s="154">
        <f t="shared" ref="R24:R26" si="16">SUM(R23+Q24)</f>
        <v>49425</v>
      </c>
      <c r="S24" s="194">
        <f t="shared" si="1"/>
        <v>98.06547619047619</v>
      </c>
      <c r="T24" s="366">
        <v>0</v>
      </c>
      <c r="U24" s="367">
        <v>0</v>
      </c>
      <c r="V24" s="366">
        <v>0</v>
      </c>
      <c r="W24" s="367">
        <v>0</v>
      </c>
    </row>
    <row r="25" spans="1:23" ht="26.25" x14ac:dyDescent="0.4">
      <c r="A25" s="184">
        <v>6</v>
      </c>
      <c r="B25" s="184">
        <v>2</v>
      </c>
      <c r="C25" s="185">
        <v>44562</v>
      </c>
      <c r="D25" s="189">
        <v>44651</v>
      </c>
      <c r="E25" s="193">
        <v>53961.68</v>
      </c>
      <c r="F25" s="155">
        <f t="shared" si="2"/>
        <v>1187156.9600000004</v>
      </c>
      <c r="G25" s="154">
        <v>0</v>
      </c>
      <c r="H25" s="154">
        <f t="shared" si="13"/>
        <v>926223</v>
      </c>
      <c r="I25" s="194">
        <f t="shared" si="14"/>
        <v>78.020264481286432</v>
      </c>
      <c r="J25" s="193">
        <v>205028.32</v>
      </c>
      <c r="K25" s="155">
        <f t="shared" si="5"/>
        <v>4510623.0399999991</v>
      </c>
      <c r="L25" s="154">
        <v>0</v>
      </c>
      <c r="M25" s="154">
        <f t="shared" si="15"/>
        <v>4978523</v>
      </c>
      <c r="N25" s="194">
        <f t="shared" si="0"/>
        <v>110.37328891930638</v>
      </c>
      <c r="O25" s="193">
        <v>2400</v>
      </c>
      <c r="P25" s="155">
        <f t="shared" si="7"/>
        <v>52800</v>
      </c>
      <c r="Q25" s="154">
        <v>0</v>
      </c>
      <c r="R25" s="154">
        <f t="shared" si="16"/>
        <v>49425</v>
      </c>
      <c r="S25" s="194">
        <f t="shared" si="1"/>
        <v>93.607954545454547</v>
      </c>
      <c r="T25" s="366">
        <v>0</v>
      </c>
      <c r="U25" s="367">
        <v>0</v>
      </c>
      <c r="V25" s="366">
        <v>0</v>
      </c>
      <c r="W25" s="367">
        <v>0</v>
      </c>
    </row>
    <row r="26" spans="1:23" ht="26.25" x14ac:dyDescent="0.4">
      <c r="A26" s="184">
        <v>6</v>
      </c>
      <c r="B26" s="184">
        <v>3</v>
      </c>
      <c r="C26" s="185">
        <v>44652</v>
      </c>
      <c r="D26" s="189">
        <v>44742</v>
      </c>
      <c r="E26" s="193">
        <v>53961.68</v>
      </c>
      <c r="F26" s="155">
        <f t="shared" si="2"/>
        <v>1241118.6400000004</v>
      </c>
      <c r="G26" s="154">
        <v>0</v>
      </c>
      <c r="H26" s="154">
        <f t="shared" si="13"/>
        <v>926223</v>
      </c>
      <c r="I26" s="194">
        <f t="shared" si="14"/>
        <v>74.628079069056582</v>
      </c>
      <c r="J26" s="193">
        <v>205028.32</v>
      </c>
      <c r="K26" s="155">
        <f t="shared" si="5"/>
        <v>4715651.3599999994</v>
      </c>
      <c r="L26" s="154">
        <v>0</v>
      </c>
      <c r="M26" s="154">
        <f t="shared" si="15"/>
        <v>4978523</v>
      </c>
      <c r="N26" s="194">
        <f t="shared" si="0"/>
        <v>105.5744502706409</v>
      </c>
      <c r="O26" s="193">
        <v>2400</v>
      </c>
      <c r="P26" s="155">
        <f t="shared" si="7"/>
        <v>55200</v>
      </c>
      <c r="Q26" s="154">
        <v>0</v>
      </c>
      <c r="R26" s="154">
        <f t="shared" si="16"/>
        <v>49425</v>
      </c>
      <c r="S26" s="194">
        <f t="shared" si="1"/>
        <v>89.53804347826086</v>
      </c>
      <c r="T26" s="366">
        <v>0</v>
      </c>
      <c r="U26" s="367">
        <v>0</v>
      </c>
      <c r="V26" s="366">
        <v>0</v>
      </c>
      <c r="W26" s="367">
        <v>0</v>
      </c>
    </row>
    <row r="27" spans="1:23" ht="26.25" x14ac:dyDescent="0.4">
      <c r="A27" s="184">
        <v>6</v>
      </c>
      <c r="B27" s="184">
        <v>4</v>
      </c>
      <c r="C27" s="185">
        <v>44743</v>
      </c>
      <c r="D27" s="189">
        <v>44834</v>
      </c>
      <c r="E27" s="193">
        <v>53961.68</v>
      </c>
      <c r="F27" s="155">
        <f t="shared" si="2"/>
        <v>1295080.3200000003</v>
      </c>
      <c r="G27" s="154">
        <v>0</v>
      </c>
      <c r="H27" s="154">
        <f>H26</f>
        <v>926223</v>
      </c>
      <c r="I27" s="194">
        <f>SUM(H27/F27)*100</f>
        <v>71.518575774512556</v>
      </c>
      <c r="J27" s="193">
        <v>205028.32</v>
      </c>
      <c r="K27" s="155">
        <f t="shared" si="5"/>
        <v>4920679.68</v>
      </c>
      <c r="L27" s="154">
        <v>0</v>
      </c>
      <c r="M27" s="154">
        <f>M26</f>
        <v>4978523</v>
      </c>
      <c r="N27" s="194">
        <f t="shared" si="0"/>
        <v>101.17551484269751</v>
      </c>
      <c r="O27" s="193">
        <v>2400</v>
      </c>
      <c r="P27" s="155">
        <f t="shared" si="7"/>
        <v>57600</v>
      </c>
      <c r="Q27" s="154">
        <v>0</v>
      </c>
      <c r="R27" s="154">
        <f>R26</f>
        <v>49425</v>
      </c>
      <c r="S27" s="194">
        <f t="shared" si="1"/>
        <v>85.807291666666657</v>
      </c>
      <c r="T27" s="368">
        <v>0</v>
      </c>
      <c r="U27" s="367">
        <v>0</v>
      </c>
      <c r="V27" s="368">
        <v>0</v>
      </c>
      <c r="W27" s="367">
        <v>0</v>
      </c>
    </row>
    <row r="28" spans="1:23" ht="26.25" x14ac:dyDescent="0.4">
      <c r="A28" s="184">
        <v>7</v>
      </c>
      <c r="B28" s="184">
        <v>1</v>
      </c>
      <c r="C28" s="185">
        <v>44835</v>
      </c>
      <c r="D28" s="189">
        <v>44926</v>
      </c>
      <c r="E28" s="193">
        <v>53961.68</v>
      </c>
      <c r="F28" s="155">
        <f t="shared" si="2"/>
        <v>1349042.0000000002</v>
      </c>
      <c r="G28" s="312"/>
      <c r="H28" s="154">
        <f>H27</f>
        <v>926223</v>
      </c>
      <c r="I28" s="194">
        <f>SUM(H28/F28)*100</f>
        <v>68.657832743532069</v>
      </c>
      <c r="J28" s="193">
        <v>205028.32</v>
      </c>
      <c r="K28" s="155">
        <f t="shared" si="5"/>
        <v>5125708</v>
      </c>
      <c r="L28" s="312"/>
      <c r="M28" s="154">
        <f>M27</f>
        <v>4978523</v>
      </c>
      <c r="N28" s="194">
        <f t="shared" si="0"/>
        <v>97.128494248989611</v>
      </c>
      <c r="O28" s="193">
        <v>2400</v>
      </c>
      <c r="P28" s="155">
        <f t="shared" si="7"/>
        <v>60000</v>
      </c>
      <c r="Q28" s="312"/>
      <c r="R28" s="154">
        <f>R27</f>
        <v>49425</v>
      </c>
      <c r="S28" s="194">
        <f t="shared" si="1"/>
        <v>82.375</v>
      </c>
      <c r="T28" s="368">
        <v>18200</v>
      </c>
      <c r="U28" s="369"/>
      <c r="V28" s="368">
        <v>6</v>
      </c>
      <c r="W28" s="369"/>
    </row>
    <row r="29" spans="1:23" ht="26.25" x14ac:dyDescent="0.4">
      <c r="A29" s="184">
        <v>7</v>
      </c>
      <c r="B29" s="184">
        <v>2</v>
      </c>
      <c r="C29" s="185">
        <v>44927</v>
      </c>
      <c r="D29" s="189">
        <v>45016</v>
      </c>
      <c r="E29" s="314"/>
      <c r="F29" s="311">
        <v>1349042</v>
      </c>
      <c r="G29" s="312">
        <v>422819</v>
      </c>
      <c r="H29" s="312">
        <f>H28+G29</f>
        <v>1349042</v>
      </c>
      <c r="I29" s="194">
        <f>SUM(H29/F29)*100</f>
        <v>100</v>
      </c>
      <c r="J29" s="314"/>
      <c r="K29" s="311"/>
      <c r="L29" s="312">
        <v>136758</v>
      </c>
      <c r="M29" s="312">
        <f>M28+L29</f>
        <v>5115281</v>
      </c>
      <c r="N29" s="315"/>
      <c r="O29" s="314"/>
      <c r="P29" s="311">
        <v>60000</v>
      </c>
      <c r="Q29" s="312">
        <v>10575</v>
      </c>
      <c r="R29" s="312">
        <f>R28+Q29</f>
        <v>60000</v>
      </c>
      <c r="S29" s="194">
        <f>SUM(R29/P29)*100</f>
        <v>100</v>
      </c>
      <c r="T29" s="369"/>
      <c r="U29" s="369"/>
      <c r="V29" s="369"/>
      <c r="W29" s="369"/>
    </row>
    <row r="30" spans="1:23" s="26" customFormat="1" ht="26.25" x14ac:dyDescent="0.4">
      <c r="A30" s="186"/>
      <c r="B30" s="186"/>
      <c r="C30" s="187"/>
      <c r="D30" s="190"/>
      <c r="E30" s="195">
        <v>1349042</v>
      </c>
      <c r="F30" s="196" t="s">
        <v>71</v>
      </c>
      <c r="G30" s="197">
        <f>SUM(G4:G29)</f>
        <v>1349042</v>
      </c>
      <c r="H30" s="196" t="s">
        <v>19</v>
      </c>
      <c r="I30" s="198">
        <f>E30-G30</f>
        <v>0</v>
      </c>
      <c r="J30" s="195">
        <v>5115281</v>
      </c>
      <c r="K30" s="196" t="s">
        <v>71</v>
      </c>
      <c r="L30" s="197">
        <f>SUM(L4:L29)</f>
        <v>5115281</v>
      </c>
      <c r="M30" s="196" t="s">
        <v>19</v>
      </c>
      <c r="N30" s="198">
        <f>J30-L30</f>
        <v>0</v>
      </c>
      <c r="O30" s="195">
        <f>SUM(O4:O28)</f>
        <v>60000</v>
      </c>
      <c r="P30" s="196" t="s">
        <v>71</v>
      </c>
      <c r="Q30" s="197">
        <f>SUM(Q4:Q29)</f>
        <v>60000</v>
      </c>
      <c r="R30" s="196" t="s">
        <v>19</v>
      </c>
      <c r="S30" s="198">
        <f>O30-Q30</f>
        <v>0</v>
      </c>
      <c r="T30" s="369">
        <f>SUM(T4:T29)</f>
        <v>18200</v>
      </c>
      <c r="U30" s="369">
        <f t="shared" ref="U30" si="17">SUM(U4:U29)</f>
        <v>0</v>
      </c>
      <c r="V30" s="369">
        <f>SUM(V4:V29)</f>
        <v>6</v>
      </c>
      <c r="W30" s="369">
        <f t="shared" ref="W30" si="18">SUM(W4:W29)</f>
        <v>0</v>
      </c>
    </row>
    <row r="31" spans="1:23" ht="15.75" x14ac:dyDescent="0.2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</row>
    <row r="32" spans="1:23" x14ac:dyDescent="0.25">
      <c r="C32" s="18" t="s">
        <v>159</v>
      </c>
      <c r="D32" s="377">
        <v>44926</v>
      </c>
    </row>
    <row r="33" spans="3:11" x14ac:dyDescent="0.25">
      <c r="C33" t="s">
        <v>164</v>
      </c>
      <c r="F33" s="256"/>
      <c r="K33" s="256"/>
    </row>
  </sheetData>
  <mergeCells count="5">
    <mergeCell ref="O2:S2"/>
    <mergeCell ref="A2:D2"/>
    <mergeCell ref="J2:N2"/>
    <mergeCell ref="E2:I2"/>
    <mergeCell ref="A1:S1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72366-D7CA-4A0F-B087-647A729979EE}">
  <dimension ref="A1:N32"/>
  <sheetViews>
    <sheetView workbookViewId="0">
      <selection activeCell="N29" sqref="N29"/>
    </sheetView>
  </sheetViews>
  <sheetFormatPr defaultRowHeight="15" x14ac:dyDescent="0.25"/>
  <cols>
    <col min="3" max="3" width="9.7109375" bestFit="1" customWidth="1"/>
    <col min="4" max="4" width="14.7109375" customWidth="1"/>
    <col min="5" max="5" width="10.28515625" bestFit="1" customWidth="1"/>
    <col min="6" max="6" width="11.5703125" bestFit="1" customWidth="1"/>
    <col min="7" max="7" width="10" bestFit="1" customWidth="1"/>
    <col min="8" max="8" width="11.5703125" bestFit="1" customWidth="1"/>
    <col min="9" max="10" width="10" bestFit="1" customWidth="1"/>
    <col min="11" max="11" width="9" bestFit="1" customWidth="1"/>
    <col min="12" max="12" width="10" bestFit="1" customWidth="1"/>
    <col min="13" max="13" width="12.85546875" customWidth="1"/>
    <col min="14" max="14" width="12.28515625" customWidth="1"/>
  </cols>
  <sheetData>
    <row r="1" spans="1:14" ht="15.75" thickBot="1" x14ac:dyDescent="0.3">
      <c r="A1" s="440" t="s">
        <v>130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339"/>
      <c r="N1" s="339"/>
    </row>
    <row r="2" spans="1:14" ht="15.75" thickTop="1" x14ac:dyDescent="0.25">
      <c r="A2" s="441" t="s">
        <v>30</v>
      </c>
      <c r="B2" s="441"/>
      <c r="C2" s="441"/>
      <c r="D2" s="442"/>
      <c r="E2" s="443" t="s">
        <v>131</v>
      </c>
      <c r="F2" s="444"/>
      <c r="G2" s="444"/>
      <c r="H2" s="445"/>
      <c r="I2" s="443" t="s">
        <v>132</v>
      </c>
      <c r="J2" s="444"/>
      <c r="K2" s="444"/>
      <c r="L2" s="445"/>
      <c r="M2" s="340"/>
      <c r="N2" s="340"/>
    </row>
    <row r="3" spans="1:14" ht="60" x14ac:dyDescent="0.25">
      <c r="A3" s="201" t="s">
        <v>46</v>
      </c>
      <c r="B3" s="201" t="s">
        <v>47</v>
      </c>
      <c r="C3" s="201" t="s">
        <v>39</v>
      </c>
      <c r="D3" s="205" t="s">
        <v>40</v>
      </c>
      <c r="E3" s="209" t="s">
        <v>75</v>
      </c>
      <c r="F3" s="182" t="s">
        <v>114</v>
      </c>
      <c r="G3" s="182" t="s">
        <v>115</v>
      </c>
      <c r="H3" s="210" t="s">
        <v>133</v>
      </c>
      <c r="I3" s="216" t="s">
        <v>75</v>
      </c>
      <c r="J3" s="204" t="s">
        <v>114</v>
      </c>
      <c r="K3" s="204" t="s">
        <v>115</v>
      </c>
      <c r="L3" s="210" t="s">
        <v>133</v>
      </c>
      <c r="M3" s="343" t="s">
        <v>134</v>
      </c>
      <c r="N3" s="341" t="s">
        <v>135</v>
      </c>
    </row>
    <row r="4" spans="1:14" x14ac:dyDescent="0.25">
      <c r="A4" s="201">
        <v>1</v>
      </c>
      <c r="B4" s="201">
        <v>1</v>
      </c>
      <c r="C4" s="202">
        <v>42644</v>
      </c>
      <c r="D4" s="206">
        <v>42735</v>
      </c>
      <c r="E4" s="211">
        <v>73094.080000000002</v>
      </c>
      <c r="F4" s="200">
        <f>SUM(0+ E4)</f>
        <v>73094.080000000002</v>
      </c>
      <c r="G4" s="200">
        <v>0</v>
      </c>
      <c r="H4" s="212">
        <f>G4</f>
        <v>0</v>
      </c>
      <c r="I4" s="217">
        <v>11896</v>
      </c>
      <c r="J4" s="199">
        <f>SUM(0+ I4)</f>
        <v>11896</v>
      </c>
      <c r="K4" s="199">
        <v>0</v>
      </c>
      <c r="L4" s="218">
        <f>K4</f>
        <v>0</v>
      </c>
      <c r="M4" s="344">
        <v>0</v>
      </c>
      <c r="N4" s="342">
        <v>1</v>
      </c>
    </row>
    <row r="5" spans="1:14" x14ac:dyDescent="0.25">
      <c r="A5" s="201">
        <v>1</v>
      </c>
      <c r="B5" s="201">
        <v>2</v>
      </c>
      <c r="C5" s="202">
        <v>42736</v>
      </c>
      <c r="D5" s="206">
        <v>42825</v>
      </c>
      <c r="E5" s="211">
        <v>73094.080000000002</v>
      </c>
      <c r="F5" s="200">
        <f>SUM(F4+E5)</f>
        <v>146188.16</v>
      </c>
      <c r="G5" s="200">
        <v>2227</v>
      </c>
      <c r="H5" s="212">
        <f t="shared" ref="H5:H23" si="0">SUM(H4+G5)</f>
        <v>2227</v>
      </c>
      <c r="I5" s="217">
        <v>11896</v>
      </c>
      <c r="J5" s="199">
        <f t="shared" ref="J5:J28" si="1">SUM(J4+I5)</f>
        <v>23792</v>
      </c>
      <c r="K5" s="199">
        <v>26351</v>
      </c>
      <c r="L5" s="218">
        <f>L4+K5</f>
        <v>26351</v>
      </c>
      <c r="M5" s="344">
        <v>0</v>
      </c>
      <c r="N5" s="342">
        <v>1</v>
      </c>
    </row>
    <row r="6" spans="1:14" x14ac:dyDescent="0.25">
      <c r="A6" s="201">
        <v>1</v>
      </c>
      <c r="B6" s="201">
        <v>3</v>
      </c>
      <c r="C6" s="202">
        <v>42826</v>
      </c>
      <c r="D6" s="206">
        <v>42916</v>
      </c>
      <c r="E6" s="211">
        <v>73094.080000000002</v>
      </c>
      <c r="F6" s="200">
        <f t="shared" ref="F6:F23" si="2">SUM(F5+E6)</f>
        <v>219282.24</v>
      </c>
      <c r="G6" s="200">
        <v>36610</v>
      </c>
      <c r="H6" s="212">
        <f t="shared" si="0"/>
        <v>38837</v>
      </c>
      <c r="I6" s="217">
        <v>11896</v>
      </c>
      <c r="J6" s="199">
        <f t="shared" si="1"/>
        <v>35688</v>
      </c>
      <c r="K6" s="199">
        <v>29183</v>
      </c>
      <c r="L6" s="218">
        <f t="shared" ref="L6:L29" si="3">L5+K6</f>
        <v>55534</v>
      </c>
      <c r="M6" s="344">
        <v>0</v>
      </c>
      <c r="N6" s="342">
        <v>1</v>
      </c>
    </row>
    <row r="7" spans="1:14" x14ac:dyDescent="0.25">
      <c r="A7" s="201">
        <v>1</v>
      </c>
      <c r="B7" s="201">
        <v>4</v>
      </c>
      <c r="C7" s="202">
        <v>42917</v>
      </c>
      <c r="D7" s="206">
        <v>43008</v>
      </c>
      <c r="E7" s="211">
        <v>73094.080000000002</v>
      </c>
      <c r="F7" s="200">
        <f t="shared" si="2"/>
        <v>292376.32000000001</v>
      </c>
      <c r="G7" s="200">
        <v>84505</v>
      </c>
      <c r="H7" s="212">
        <f t="shared" si="0"/>
        <v>123342</v>
      </c>
      <c r="I7" s="217">
        <v>11896</v>
      </c>
      <c r="J7" s="199">
        <f t="shared" si="1"/>
        <v>47584</v>
      </c>
      <c r="K7" s="199">
        <v>10717</v>
      </c>
      <c r="L7" s="218">
        <f t="shared" si="3"/>
        <v>66251</v>
      </c>
      <c r="M7" s="344">
        <v>0</v>
      </c>
      <c r="N7" s="342">
        <v>1</v>
      </c>
    </row>
    <row r="8" spans="1:14" x14ac:dyDescent="0.25">
      <c r="A8" s="201">
        <v>2</v>
      </c>
      <c r="B8" s="201">
        <v>1</v>
      </c>
      <c r="C8" s="202">
        <v>43009</v>
      </c>
      <c r="D8" s="206">
        <v>43100</v>
      </c>
      <c r="E8" s="211">
        <v>73094.080000000002</v>
      </c>
      <c r="F8" s="200">
        <f t="shared" si="2"/>
        <v>365470.4</v>
      </c>
      <c r="G8" s="200">
        <v>117076</v>
      </c>
      <c r="H8" s="212">
        <f t="shared" si="0"/>
        <v>240418</v>
      </c>
      <c r="I8" s="217">
        <v>11896</v>
      </c>
      <c r="J8" s="199">
        <f t="shared" si="1"/>
        <v>59480</v>
      </c>
      <c r="K8" s="199">
        <v>4407</v>
      </c>
      <c r="L8" s="218">
        <f t="shared" si="3"/>
        <v>70658</v>
      </c>
      <c r="M8" s="344">
        <v>0</v>
      </c>
      <c r="N8" s="342">
        <v>1</v>
      </c>
    </row>
    <row r="9" spans="1:14" x14ac:dyDescent="0.25">
      <c r="A9" s="201">
        <v>2</v>
      </c>
      <c r="B9" s="201">
        <v>2</v>
      </c>
      <c r="C9" s="202">
        <v>43101</v>
      </c>
      <c r="D9" s="206">
        <v>43190</v>
      </c>
      <c r="E9" s="211">
        <v>73094.080000000002</v>
      </c>
      <c r="F9" s="200">
        <f t="shared" si="2"/>
        <v>438564.48000000004</v>
      </c>
      <c r="G9" s="200">
        <v>130184</v>
      </c>
      <c r="H9" s="212">
        <f t="shared" si="0"/>
        <v>370602</v>
      </c>
      <c r="I9" s="217">
        <v>11896</v>
      </c>
      <c r="J9" s="199">
        <f t="shared" si="1"/>
        <v>71376</v>
      </c>
      <c r="K9" s="199">
        <v>221</v>
      </c>
      <c r="L9" s="218">
        <f t="shared" si="3"/>
        <v>70879</v>
      </c>
      <c r="M9" s="344">
        <v>0</v>
      </c>
      <c r="N9" s="342">
        <v>1</v>
      </c>
    </row>
    <row r="10" spans="1:14" x14ac:dyDescent="0.25">
      <c r="A10" s="201">
        <v>2</v>
      </c>
      <c r="B10" s="201">
        <v>3</v>
      </c>
      <c r="C10" s="202">
        <v>43191</v>
      </c>
      <c r="D10" s="206">
        <v>43281</v>
      </c>
      <c r="E10" s="211">
        <v>73094.080000000002</v>
      </c>
      <c r="F10" s="200">
        <f t="shared" si="2"/>
        <v>511658.56000000006</v>
      </c>
      <c r="G10" s="200">
        <v>141076</v>
      </c>
      <c r="H10" s="212">
        <f t="shared" si="0"/>
        <v>511678</v>
      </c>
      <c r="I10" s="217">
        <v>11896</v>
      </c>
      <c r="J10" s="199">
        <f t="shared" si="1"/>
        <v>83272</v>
      </c>
      <c r="K10" s="199">
        <v>1148</v>
      </c>
      <c r="L10" s="218">
        <f t="shared" si="3"/>
        <v>72027</v>
      </c>
      <c r="M10" s="344">
        <v>0</v>
      </c>
      <c r="N10" s="342">
        <v>1</v>
      </c>
    </row>
    <row r="11" spans="1:14" x14ac:dyDescent="0.25">
      <c r="A11" s="201">
        <v>2</v>
      </c>
      <c r="B11" s="201">
        <v>4</v>
      </c>
      <c r="C11" s="202">
        <v>43282</v>
      </c>
      <c r="D11" s="206">
        <v>43373</v>
      </c>
      <c r="E11" s="211">
        <v>73094.080000000002</v>
      </c>
      <c r="F11" s="200">
        <f t="shared" si="2"/>
        <v>584752.64000000001</v>
      </c>
      <c r="G11" s="200">
        <v>138298</v>
      </c>
      <c r="H11" s="212">
        <f t="shared" si="0"/>
        <v>649976</v>
      </c>
      <c r="I11" s="217">
        <v>11896</v>
      </c>
      <c r="J11" s="199">
        <f t="shared" si="1"/>
        <v>95168</v>
      </c>
      <c r="K11" s="199">
        <v>986</v>
      </c>
      <c r="L11" s="218">
        <f t="shared" si="3"/>
        <v>73013</v>
      </c>
      <c r="M11" s="344">
        <v>0</v>
      </c>
      <c r="N11" s="342">
        <v>2</v>
      </c>
    </row>
    <row r="12" spans="1:14" x14ac:dyDescent="0.25">
      <c r="A12" s="201">
        <v>3</v>
      </c>
      <c r="B12" s="201">
        <v>1</v>
      </c>
      <c r="C12" s="202">
        <v>43374</v>
      </c>
      <c r="D12" s="206">
        <v>43465</v>
      </c>
      <c r="E12" s="211">
        <v>73094.080000000002</v>
      </c>
      <c r="F12" s="200">
        <f t="shared" si="2"/>
        <v>657846.72</v>
      </c>
      <c r="G12" s="200">
        <v>108200</v>
      </c>
      <c r="H12" s="212">
        <f t="shared" si="0"/>
        <v>758176</v>
      </c>
      <c r="I12" s="217">
        <v>11896</v>
      </c>
      <c r="J12" s="199">
        <f t="shared" si="1"/>
        <v>107064</v>
      </c>
      <c r="K12" s="199">
        <v>1177</v>
      </c>
      <c r="L12" s="218">
        <f t="shared" si="3"/>
        <v>74190</v>
      </c>
      <c r="M12" s="344">
        <v>0</v>
      </c>
      <c r="N12" s="342">
        <v>1</v>
      </c>
    </row>
    <row r="13" spans="1:14" x14ac:dyDescent="0.25">
      <c r="A13" s="201">
        <v>3</v>
      </c>
      <c r="B13" s="201">
        <v>2</v>
      </c>
      <c r="C13" s="202">
        <v>43466</v>
      </c>
      <c r="D13" s="206">
        <v>43555</v>
      </c>
      <c r="E13" s="211">
        <v>73094.080000000002</v>
      </c>
      <c r="F13" s="200">
        <f t="shared" si="2"/>
        <v>730940.79999999993</v>
      </c>
      <c r="G13" s="200">
        <v>171689</v>
      </c>
      <c r="H13" s="212">
        <f t="shared" si="0"/>
        <v>929865</v>
      </c>
      <c r="I13" s="217">
        <v>11896</v>
      </c>
      <c r="J13" s="199">
        <f t="shared" si="1"/>
        <v>118960</v>
      </c>
      <c r="K13" s="199">
        <v>1304</v>
      </c>
      <c r="L13" s="218">
        <f t="shared" si="3"/>
        <v>75494</v>
      </c>
      <c r="M13" s="344">
        <v>0</v>
      </c>
      <c r="N13" s="342">
        <v>1</v>
      </c>
    </row>
    <row r="14" spans="1:14" x14ac:dyDescent="0.25">
      <c r="A14" s="201">
        <v>3</v>
      </c>
      <c r="B14" s="201">
        <v>3</v>
      </c>
      <c r="C14" s="202">
        <v>43556</v>
      </c>
      <c r="D14" s="206">
        <v>43646</v>
      </c>
      <c r="E14" s="211">
        <v>73094.080000000002</v>
      </c>
      <c r="F14" s="200">
        <f t="shared" si="2"/>
        <v>804034.87999999989</v>
      </c>
      <c r="G14" s="200">
        <v>140715</v>
      </c>
      <c r="H14" s="212">
        <f t="shared" si="0"/>
        <v>1070580</v>
      </c>
      <c r="I14" s="217">
        <v>11896</v>
      </c>
      <c r="J14" s="199">
        <f t="shared" si="1"/>
        <v>130856</v>
      </c>
      <c r="K14" s="199">
        <v>920</v>
      </c>
      <c r="L14" s="218">
        <f t="shared" si="3"/>
        <v>76414</v>
      </c>
      <c r="M14" s="344">
        <v>0</v>
      </c>
      <c r="N14" s="342">
        <v>1</v>
      </c>
    </row>
    <row r="15" spans="1:14" x14ac:dyDescent="0.25">
      <c r="A15" s="201">
        <v>3</v>
      </c>
      <c r="B15" s="201">
        <v>4</v>
      </c>
      <c r="C15" s="202">
        <v>43647</v>
      </c>
      <c r="D15" s="206">
        <v>43738</v>
      </c>
      <c r="E15" s="211">
        <v>73094.080000000002</v>
      </c>
      <c r="F15" s="200">
        <f t="shared" si="2"/>
        <v>877128.95999999985</v>
      </c>
      <c r="G15" s="200">
        <v>100595</v>
      </c>
      <c r="H15" s="212">
        <f t="shared" si="0"/>
        <v>1171175</v>
      </c>
      <c r="I15" s="217">
        <v>11896</v>
      </c>
      <c r="J15" s="199">
        <f t="shared" si="1"/>
        <v>142752</v>
      </c>
      <c r="K15" s="199">
        <v>1014</v>
      </c>
      <c r="L15" s="218">
        <f t="shared" si="3"/>
        <v>77428</v>
      </c>
      <c r="M15" s="344">
        <v>0</v>
      </c>
      <c r="N15" s="342">
        <v>1</v>
      </c>
    </row>
    <row r="16" spans="1:14" x14ac:dyDescent="0.25">
      <c r="A16" s="201">
        <v>4</v>
      </c>
      <c r="B16" s="201">
        <v>1</v>
      </c>
      <c r="C16" s="202">
        <v>43739</v>
      </c>
      <c r="D16" s="206">
        <v>43830</v>
      </c>
      <c r="E16" s="211">
        <v>73094.080000000002</v>
      </c>
      <c r="F16" s="200">
        <f t="shared" si="2"/>
        <v>950223.0399999998</v>
      </c>
      <c r="G16" s="200">
        <v>158844</v>
      </c>
      <c r="H16" s="212">
        <f t="shared" si="0"/>
        <v>1330019</v>
      </c>
      <c r="I16" s="217">
        <v>11896</v>
      </c>
      <c r="J16" s="199">
        <f t="shared" si="1"/>
        <v>154648</v>
      </c>
      <c r="K16" s="199">
        <v>4103</v>
      </c>
      <c r="L16" s="218">
        <f t="shared" si="3"/>
        <v>81531</v>
      </c>
      <c r="M16" s="344">
        <v>0</v>
      </c>
      <c r="N16" s="342">
        <v>1</v>
      </c>
    </row>
    <row r="17" spans="1:14" x14ac:dyDescent="0.25">
      <c r="A17" s="201">
        <v>4</v>
      </c>
      <c r="B17" s="201">
        <v>2</v>
      </c>
      <c r="C17" s="202">
        <v>43831</v>
      </c>
      <c r="D17" s="206">
        <v>43921</v>
      </c>
      <c r="E17" s="211">
        <v>73094.080000000002</v>
      </c>
      <c r="F17" s="200">
        <f t="shared" si="2"/>
        <v>1023317.1199999998</v>
      </c>
      <c r="G17" s="200">
        <v>90949</v>
      </c>
      <c r="H17" s="212">
        <f t="shared" si="0"/>
        <v>1420968</v>
      </c>
      <c r="I17" s="217">
        <v>11896</v>
      </c>
      <c r="J17" s="199">
        <f t="shared" si="1"/>
        <v>166544</v>
      </c>
      <c r="K17" s="199">
        <v>21355</v>
      </c>
      <c r="L17" s="218">
        <f t="shared" si="3"/>
        <v>102886</v>
      </c>
      <c r="M17" s="344">
        <v>0</v>
      </c>
      <c r="N17" s="342">
        <v>2</v>
      </c>
    </row>
    <row r="18" spans="1:14" x14ac:dyDescent="0.25">
      <c r="A18" s="201">
        <v>4</v>
      </c>
      <c r="B18" s="201">
        <v>3</v>
      </c>
      <c r="C18" s="202">
        <v>43922</v>
      </c>
      <c r="D18" s="206">
        <v>44012</v>
      </c>
      <c r="E18" s="211">
        <v>73094.080000000002</v>
      </c>
      <c r="F18" s="200">
        <f t="shared" si="2"/>
        <v>1096411.1999999997</v>
      </c>
      <c r="G18" s="200">
        <v>96902</v>
      </c>
      <c r="H18" s="212">
        <f t="shared" si="0"/>
        <v>1517870</v>
      </c>
      <c r="I18" s="217">
        <v>11896</v>
      </c>
      <c r="J18" s="199">
        <f t="shared" si="1"/>
        <v>178440</v>
      </c>
      <c r="K18" s="199">
        <v>28698</v>
      </c>
      <c r="L18" s="218">
        <f t="shared" si="3"/>
        <v>131584</v>
      </c>
      <c r="M18" s="344">
        <v>0</v>
      </c>
      <c r="N18" s="342">
        <v>1</v>
      </c>
    </row>
    <row r="19" spans="1:14" x14ac:dyDescent="0.25">
      <c r="A19" s="201">
        <v>4</v>
      </c>
      <c r="B19" s="201">
        <v>4</v>
      </c>
      <c r="C19" s="202">
        <v>44013</v>
      </c>
      <c r="D19" s="206">
        <v>44104</v>
      </c>
      <c r="E19" s="211">
        <v>73094.080000000002</v>
      </c>
      <c r="F19" s="200">
        <f t="shared" si="2"/>
        <v>1169505.2799999998</v>
      </c>
      <c r="G19" s="200">
        <v>27080</v>
      </c>
      <c r="H19" s="212">
        <f t="shared" si="0"/>
        <v>1544950</v>
      </c>
      <c r="I19" s="217">
        <v>11896</v>
      </c>
      <c r="J19" s="199">
        <f t="shared" si="1"/>
        <v>190336</v>
      </c>
      <c r="K19" s="199">
        <v>15693</v>
      </c>
      <c r="L19" s="218">
        <f t="shared" si="3"/>
        <v>147277</v>
      </c>
      <c r="M19" s="344">
        <v>0</v>
      </c>
      <c r="N19" s="342">
        <v>1</v>
      </c>
    </row>
    <row r="20" spans="1:14" x14ac:dyDescent="0.25">
      <c r="A20" s="201">
        <v>5</v>
      </c>
      <c r="B20" s="201">
        <v>1</v>
      </c>
      <c r="C20" s="202">
        <v>44105</v>
      </c>
      <c r="D20" s="206">
        <v>44196</v>
      </c>
      <c r="E20" s="211">
        <v>73094.080000000002</v>
      </c>
      <c r="F20" s="200">
        <f t="shared" si="2"/>
        <v>1242599.3599999999</v>
      </c>
      <c r="G20" s="200">
        <v>30564</v>
      </c>
      <c r="H20" s="212">
        <f t="shared" si="0"/>
        <v>1575514</v>
      </c>
      <c r="I20" s="217">
        <v>11896</v>
      </c>
      <c r="J20" s="199">
        <f t="shared" si="1"/>
        <v>202232</v>
      </c>
      <c r="K20" s="199">
        <v>11089</v>
      </c>
      <c r="L20" s="218">
        <f t="shared" si="3"/>
        <v>158366</v>
      </c>
      <c r="M20" s="344">
        <v>0</v>
      </c>
      <c r="N20" s="342">
        <v>1</v>
      </c>
    </row>
    <row r="21" spans="1:14" x14ac:dyDescent="0.25">
      <c r="A21" s="201">
        <v>5</v>
      </c>
      <c r="B21" s="201">
        <v>2</v>
      </c>
      <c r="C21" s="202">
        <v>44197</v>
      </c>
      <c r="D21" s="206">
        <v>44286</v>
      </c>
      <c r="E21" s="211">
        <v>73094.080000000002</v>
      </c>
      <c r="F21" s="200">
        <f t="shared" si="2"/>
        <v>1315693.44</v>
      </c>
      <c r="G21" s="200">
        <v>68764</v>
      </c>
      <c r="H21" s="212">
        <f t="shared" si="0"/>
        <v>1644278</v>
      </c>
      <c r="I21" s="217">
        <v>11896</v>
      </c>
      <c r="J21" s="199">
        <f t="shared" si="1"/>
        <v>214128</v>
      </c>
      <c r="K21" s="199">
        <v>49926</v>
      </c>
      <c r="L21" s="218">
        <f t="shared" si="3"/>
        <v>208292</v>
      </c>
      <c r="M21" s="344">
        <v>20</v>
      </c>
      <c r="N21" s="342">
        <v>1</v>
      </c>
    </row>
    <row r="22" spans="1:14" ht="16.5" customHeight="1" x14ac:dyDescent="0.25">
      <c r="A22" s="201">
        <v>5</v>
      </c>
      <c r="B22" s="201">
        <v>3</v>
      </c>
      <c r="C22" s="202">
        <v>44287</v>
      </c>
      <c r="D22" s="206">
        <v>44377</v>
      </c>
      <c r="E22" s="211">
        <v>73094.080000000002</v>
      </c>
      <c r="F22" s="200">
        <f t="shared" si="2"/>
        <v>1388787.52</v>
      </c>
      <c r="G22" s="200">
        <v>62639</v>
      </c>
      <c r="H22" s="212">
        <f t="shared" si="0"/>
        <v>1706917</v>
      </c>
      <c r="I22" s="217">
        <v>11896</v>
      </c>
      <c r="J22" s="199">
        <f t="shared" si="1"/>
        <v>226024</v>
      </c>
      <c r="K22" s="199">
        <v>13222</v>
      </c>
      <c r="L22" s="218">
        <f>L21+K22</f>
        <v>221514</v>
      </c>
      <c r="M22" s="344">
        <v>10</v>
      </c>
      <c r="N22" s="342">
        <v>10</v>
      </c>
    </row>
    <row r="23" spans="1:14" x14ac:dyDescent="0.25">
      <c r="A23" s="201">
        <v>5</v>
      </c>
      <c r="B23" s="201">
        <v>4</v>
      </c>
      <c r="C23" s="202">
        <v>44378</v>
      </c>
      <c r="D23" s="206">
        <v>44469</v>
      </c>
      <c r="E23" s="211">
        <v>73094.080000000002</v>
      </c>
      <c r="F23" s="200">
        <f t="shared" si="2"/>
        <v>1461881.6</v>
      </c>
      <c r="G23" s="200">
        <v>44610</v>
      </c>
      <c r="H23" s="212">
        <f t="shared" si="0"/>
        <v>1751527</v>
      </c>
      <c r="I23" s="217">
        <v>11896</v>
      </c>
      <c r="J23" s="199">
        <f t="shared" si="1"/>
        <v>237920</v>
      </c>
      <c r="K23" s="199">
        <v>11913</v>
      </c>
      <c r="L23" s="218">
        <f>L22+K23</f>
        <v>233427</v>
      </c>
      <c r="M23" s="344">
        <v>1</v>
      </c>
      <c r="N23" s="342">
        <v>43</v>
      </c>
    </row>
    <row r="24" spans="1:14" x14ac:dyDescent="0.25">
      <c r="A24" s="201">
        <v>6</v>
      </c>
      <c r="B24" s="201">
        <v>1</v>
      </c>
      <c r="C24" s="202">
        <v>44470</v>
      </c>
      <c r="D24" s="206">
        <v>44561</v>
      </c>
      <c r="E24" s="211">
        <v>73094.080000000002</v>
      </c>
      <c r="F24" s="200">
        <f>SUM(F23+E24)</f>
        <v>1534975.6800000002</v>
      </c>
      <c r="G24" s="200">
        <v>9154</v>
      </c>
      <c r="H24" s="212">
        <f t="shared" ref="H24:H29" si="4">SUM(H23+G24)</f>
        <v>1760681</v>
      </c>
      <c r="I24" s="217">
        <v>11896</v>
      </c>
      <c r="J24" s="199">
        <f>SUM(J23+I24)</f>
        <v>249816</v>
      </c>
      <c r="K24" s="199">
        <v>867</v>
      </c>
      <c r="L24" s="218">
        <f t="shared" si="3"/>
        <v>234294</v>
      </c>
      <c r="M24" s="344">
        <v>0</v>
      </c>
      <c r="N24" s="342">
        <v>0</v>
      </c>
    </row>
    <row r="25" spans="1:14" x14ac:dyDescent="0.25">
      <c r="A25" s="201">
        <v>6</v>
      </c>
      <c r="B25" s="201">
        <v>2</v>
      </c>
      <c r="C25" s="202">
        <v>44562</v>
      </c>
      <c r="D25" s="206">
        <v>44651</v>
      </c>
      <c r="E25" s="211">
        <v>73094.080000000002</v>
      </c>
      <c r="F25" s="200">
        <f>SUM(F24+E25)</f>
        <v>1608069.7600000002</v>
      </c>
      <c r="G25" s="200">
        <v>43652</v>
      </c>
      <c r="H25" s="212">
        <f t="shared" si="4"/>
        <v>1804333</v>
      </c>
      <c r="I25" s="217">
        <v>11896</v>
      </c>
      <c r="J25" s="199">
        <f t="shared" si="1"/>
        <v>261712</v>
      </c>
      <c r="K25" s="199">
        <v>8164</v>
      </c>
      <c r="L25" s="218">
        <f t="shared" si="3"/>
        <v>242458</v>
      </c>
      <c r="M25" s="344">
        <v>0</v>
      </c>
      <c r="N25" s="342">
        <v>0</v>
      </c>
    </row>
    <row r="26" spans="1:14" x14ac:dyDescent="0.25">
      <c r="A26" s="201">
        <v>6</v>
      </c>
      <c r="B26" s="201">
        <v>3</v>
      </c>
      <c r="C26" s="202">
        <v>44652</v>
      </c>
      <c r="D26" s="206">
        <v>44742</v>
      </c>
      <c r="E26" s="211">
        <v>73094.080000000002</v>
      </c>
      <c r="F26" s="200">
        <f>SUM(F25+E26)</f>
        <v>1681163.8400000003</v>
      </c>
      <c r="G26" s="200">
        <v>0</v>
      </c>
      <c r="H26" s="212">
        <f t="shared" si="4"/>
        <v>1804333</v>
      </c>
      <c r="I26" s="217">
        <v>11896</v>
      </c>
      <c r="J26" s="199">
        <f t="shared" si="1"/>
        <v>273608</v>
      </c>
      <c r="K26" s="199">
        <v>0</v>
      </c>
      <c r="L26" s="218">
        <f t="shared" si="3"/>
        <v>242458</v>
      </c>
      <c r="M26" s="344">
        <v>0</v>
      </c>
      <c r="N26" s="342">
        <v>0</v>
      </c>
    </row>
    <row r="27" spans="1:14" x14ac:dyDescent="0.25">
      <c r="A27" s="201">
        <v>6</v>
      </c>
      <c r="B27" s="201">
        <v>4</v>
      </c>
      <c r="C27" s="203">
        <v>44743</v>
      </c>
      <c r="D27" s="207">
        <v>44834</v>
      </c>
      <c r="E27" s="211">
        <v>73094.080000000002</v>
      </c>
      <c r="F27" s="200">
        <f>SUM(F26+E27)</f>
        <v>1754257.9200000004</v>
      </c>
      <c r="G27" s="200">
        <v>3594</v>
      </c>
      <c r="H27" s="212">
        <f t="shared" si="4"/>
        <v>1807927</v>
      </c>
      <c r="I27" s="217">
        <v>11896</v>
      </c>
      <c r="J27" s="199">
        <f t="shared" si="1"/>
        <v>285504</v>
      </c>
      <c r="K27" s="199">
        <v>3851</v>
      </c>
      <c r="L27" s="218">
        <f t="shared" si="3"/>
        <v>246309</v>
      </c>
      <c r="M27" s="344">
        <v>0</v>
      </c>
      <c r="N27" s="342">
        <v>0</v>
      </c>
    </row>
    <row r="28" spans="1:14" x14ac:dyDescent="0.25">
      <c r="A28" s="201">
        <v>7</v>
      </c>
      <c r="B28" s="201">
        <v>1</v>
      </c>
      <c r="C28" s="203">
        <v>44835</v>
      </c>
      <c r="D28" s="207">
        <v>44926</v>
      </c>
      <c r="E28" s="211">
        <v>73094.080000000002</v>
      </c>
      <c r="F28" s="200">
        <f>SUM(F27+E28)</f>
        <v>1827352.0000000005</v>
      </c>
      <c r="G28" s="200">
        <v>888</v>
      </c>
      <c r="H28" s="212">
        <f t="shared" si="4"/>
        <v>1808815</v>
      </c>
      <c r="I28" s="217">
        <v>11896</v>
      </c>
      <c r="J28" s="199">
        <f t="shared" si="1"/>
        <v>297400</v>
      </c>
      <c r="K28" s="199">
        <v>1191</v>
      </c>
      <c r="L28" s="218">
        <f t="shared" si="3"/>
        <v>247500</v>
      </c>
      <c r="M28" s="344">
        <v>44</v>
      </c>
      <c r="N28" s="342">
        <v>2</v>
      </c>
    </row>
    <row r="29" spans="1:14" x14ac:dyDescent="0.25">
      <c r="A29" s="201">
        <v>7</v>
      </c>
      <c r="B29" s="201">
        <v>2</v>
      </c>
      <c r="C29" s="203">
        <v>44927</v>
      </c>
      <c r="D29" s="207">
        <v>45016</v>
      </c>
      <c r="E29" s="316"/>
      <c r="F29" s="317"/>
      <c r="G29" s="317">
        <v>4578</v>
      </c>
      <c r="H29" s="212">
        <f t="shared" si="4"/>
        <v>1813393</v>
      </c>
      <c r="I29" s="319"/>
      <c r="J29" s="320"/>
      <c r="K29" s="320">
        <v>11748</v>
      </c>
      <c r="L29" s="218">
        <f t="shared" si="3"/>
        <v>259248</v>
      </c>
      <c r="M29" s="345">
        <f>SUM(M4:M28)</f>
        <v>75</v>
      </c>
      <c r="N29" s="345">
        <f>SUM(N4:N28)</f>
        <v>75</v>
      </c>
    </row>
    <row r="30" spans="1:14" ht="15.75" thickBot="1" x14ac:dyDescent="0.3">
      <c r="A30" s="15"/>
      <c r="B30" s="15"/>
      <c r="C30" s="15"/>
      <c r="D30" s="208"/>
      <c r="E30" s="213">
        <v>1813393</v>
      </c>
      <c r="F30" s="214" t="s">
        <v>71</v>
      </c>
      <c r="G30" s="214" t="s">
        <v>19</v>
      </c>
      <c r="H30" s="215">
        <f>E30-H29</f>
        <v>0</v>
      </c>
      <c r="I30" s="213">
        <v>259248</v>
      </c>
      <c r="J30" s="214" t="s">
        <v>71</v>
      </c>
      <c r="K30" s="214" t="s">
        <v>19</v>
      </c>
      <c r="L30" s="381">
        <f>I30-L29</f>
        <v>0</v>
      </c>
      <c r="M30" s="345" t="s">
        <v>71</v>
      </c>
      <c r="N30" s="346" t="s">
        <v>136</v>
      </c>
    </row>
    <row r="31" spans="1:14" ht="15.75" thickTop="1" x14ac:dyDescent="0.25">
      <c r="A31" s="14"/>
      <c r="B31" s="14"/>
      <c r="C31" s="14"/>
      <c r="D31" s="14"/>
      <c r="E31" s="14"/>
      <c r="F31" s="14"/>
      <c r="G31" s="14"/>
      <c r="H31" s="14"/>
      <c r="I31" s="14"/>
      <c r="J31" s="380"/>
      <c r="K31" s="14"/>
      <c r="L31" s="14"/>
    </row>
    <row r="32" spans="1:14" x14ac:dyDescent="0.2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</row>
  </sheetData>
  <mergeCells count="4">
    <mergeCell ref="A1:L1"/>
    <mergeCell ref="A2:D2"/>
    <mergeCell ref="E2:H2"/>
    <mergeCell ref="I2:L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8976C-CD3F-4417-AC48-11F98C9660A1}">
  <dimension ref="A1:J32"/>
  <sheetViews>
    <sheetView topLeftCell="A3" zoomScale="110" zoomScaleNormal="110" workbookViewId="0">
      <selection activeCell="J29" sqref="J29"/>
    </sheetView>
  </sheetViews>
  <sheetFormatPr defaultRowHeight="15" x14ac:dyDescent="0.25"/>
  <cols>
    <col min="1" max="1" width="3" customWidth="1"/>
    <col min="2" max="2" width="3.140625" customWidth="1"/>
    <col min="3" max="3" width="9.7109375" bestFit="1" customWidth="1"/>
    <col min="4" max="4" width="10.7109375" bestFit="1" customWidth="1"/>
    <col min="5" max="5" width="10.28515625" bestFit="1" customWidth="1"/>
    <col min="6" max="6" width="14.140625" customWidth="1"/>
    <col min="7" max="7" width="16.42578125" customWidth="1"/>
    <col min="8" max="8" width="11.5703125" bestFit="1" customWidth="1"/>
    <col min="9" max="9" width="12.85546875" customWidth="1"/>
    <col min="10" max="10" width="12.28515625" customWidth="1"/>
  </cols>
  <sheetData>
    <row r="1" spans="1:10" ht="15.75" thickBot="1" x14ac:dyDescent="0.3">
      <c r="A1" s="446" t="s">
        <v>137</v>
      </c>
      <c r="B1" s="446"/>
      <c r="C1" s="446"/>
      <c r="D1" s="446"/>
      <c r="E1" s="440"/>
      <c r="F1" s="440"/>
      <c r="G1" s="440"/>
      <c r="H1" s="440"/>
      <c r="I1" s="339"/>
      <c r="J1" s="339"/>
    </row>
    <row r="2" spans="1:10" ht="15.75" thickTop="1" x14ac:dyDescent="0.25">
      <c r="A2" s="441" t="s">
        <v>30</v>
      </c>
      <c r="B2" s="441"/>
      <c r="C2" s="441"/>
      <c r="D2" s="442"/>
      <c r="E2" s="443" t="s">
        <v>131</v>
      </c>
      <c r="F2" s="444"/>
      <c r="G2" s="444"/>
      <c r="H2" s="445"/>
      <c r="I2" s="340"/>
      <c r="J2" s="340"/>
    </row>
    <row r="3" spans="1:10" ht="72" customHeight="1" x14ac:dyDescent="0.25">
      <c r="A3" s="201" t="s">
        <v>46</v>
      </c>
      <c r="B3" s="201" t="s">
        <v>47</v>
      </c>
      <c r="C3" s="201" t="s">
        <v>39</v>
      </c>
      <c r="D3" s="205" t="s">
        <v>40</v>
      </c>
      <c r="E3" s="209" t="s">
        <v>75</v>
      </c>
      <c r="F3" s="182" t="s">
        <v>114</v>
      </c>
      <c r="G3" s="182" t="s">
        <v>115</v>
      </c>
      <c r="H3" s="210" t="s">
        <v>133</v>
      </c>
      <c r="I3" s="343" t="s">
        <v>134</v>
      </c>
      <c r="J3" s="341" t="s">
        <v>135</v>
      </c>
    </row>
    <row r="4" spans="1:10" x14ac:dyDescent="0.25">
      <c r="A4" s="201">
        <v>1</v>
      </c>
      <c r="B4" s="201">
        <v>1</v>
      </c>
      <c r="C4" s="202">
        <v>42644</v>
      </c>
      <c r="D4" s="206">
        <v>42735</v>
      </c>
      <c r="E4" s="211">
        <v>258875.04</v>
      </c>
      <c r="F4" s="200">
        <f>SUM(0+ E4)</f>
        <v>258875.04</v>
      </c>
      <c r="G4" s="200">
        <v>0</v>
      </c>
      <c r="H4" s="212">
        <f>G4</f>
        <v>0</v>
      </c>
      <c r="I4" s="344">
        <v>0</v>
      </c>
      <c r="J4" s="342">
        <v>1</v>
      </c>
    </row>
    <row r="5" spans="1:10" x14ac:dyDescent="0.25">
      <c r="A5" s="201">
        <v>1</v>
      </c>
      <c r="B5" s="201">
        <v>2</v>
      </c>
      <c r="C5" s="202">
        <v>42736</v>
      </c>
      <c r="D5" s="206">
        <v>42825</v>
      </c>
      <c r="E5" s="211">
        <v>258875.04</v>
      </c>
      <c r="F5" s="200">
        <f>SUM(F4+E5)</f>
        <v>517750.08</v>
      </c>
      <c r="G5" s="200">
        <v>0</v>
      </c>
      <c r="H5" s="212">
        <f t="shared" ref="H5:H23" si="0">SUM(H4+G5)</f>
        <v>0</v>
      </c>
      <c r="I5" s="344">
        <v>0</v>
      </c>
      <c r="J5" s="342">
        <v>1</v>
      </c>
    </row>
    <row r="6" spans="1:10" x14ac:dyDescent="0.25">
      <c r="A6" s="201">
        <v>1</v>
      </c>
      <c r="B6" s="201">
        <v>3</v>
      </c>
      <c r="C6" s="202">
        <v>42826</v>
      </c>
      <c r="D6" s="206">
        <v>42916</v>
      </c>
      <c r="E6" s="211">
        <v>258875.04</v>
      </c>
      <c r="F6" s="200">
        <f t="shared" ref="F6:F23" si="1">SUM(F5+E6)</f>
        <v>776625.12</v>
      </c>
      <c r="G6" s="200">
        <v>901966</v>
      </c>
      <c r="H6" s="212">
        <f t="shared" si="0"/>
        <v>901966</v>
      </c>
      <c r="I6" s="344">
        <v>0</v>
      </c>
      <c r="J6" s="342">
        <v>2</v>
      </c>
    </row>
    <row r="7" spans="1:10" x14ac:dyDescent="0.25">
      <c r="A7" s="201">
        <v>1</v>
      </c>
      <c r="B7" s="201">
        <v>4</v>
      </c>
      <c r="C7" s="202">
        <v>42917</v>
      </c>
      <c r="D7" s="206">
        <v>43008</v>
      </c>
      <c r="E7" s="211">
        <v>258875.04</v>
      </c>
      <c r="F7" s="200">
        <f t="shared" si="1"/>
        <v>1035500.16</v>
      </c>
      <c r="G7" s="200">
        <v>625534</v>
      </c>
      <c r="H7" s="212">
        <f t="shared" si="0"/>
        <v>1527500</v>
      </c>
      <c r="I7" s="344">
        <v>0</v>
      </c>
      <c r="J7" s="342">
        <v>1</v>
      </c>
    </row>
    <row r="8" spans="1:10" x14ac:dyDescent="0.25">
      <c r="A8" s="201">
        <v>2</v>
      </c>
      <c r="B8" s="201">
        <v>1</v>
      </c>
      <c r="C8" s="202">
        <v>43009</v>
      </c>
      <c r="D8" s="206">
        <v>43100</v>
      </c>
      <c r="E8" s="211">
        <v>258875.04</v>
      </c>
      <c r="F8" s="200">
        <f t="shared" si="1"/>
        <v>1294375.2</v>
      </c>
      <c r="G8" s="200">
        <v>560963</v>
      </c>
      <c r="H8" s="212">
        <f t="shared" si="0"/>
        <v>2088463</v>
      </c>
      <c r="I8" s="344">
        <v>0</v>
      </c>
      <c r="J8" s="342">
        <v>1</v>
      </c>
    </row>
    <row r="9" spans="1:10" x14ac:dyDescent="0.25">
      <c r="A9" s="201">
        <v>2</v>
      </c>
      <c r="B9" s="201">
        <v>2</v>
      </c>
      <c r="C9" s="202">
        <v>43101</v>
      </c>
      <c r="D9" s="206">
        <v>43190</v>
      </c>
      <c r="E9" s="211">
        <v>258875.04</v>
      </c>
      <c r="F9" s="200">
        <f t="shared" si="1"/>
        <v>1553250.24</v>
      </c>
      <c r="G9" s="200">
        <v>449738</v>
      </c>
      <c r="H9" s="212">
        <f t="shared" si="0"/>
        <v>2538201</v>
      </c>
      <c r="I9" s="344">
        <v>0</v>
      </c>
      <c r="J9" s="342">
        <v>0</v>
      </c>
    </row>
    <row r="10" spans="1:10" x14ac:dyDescent="0.25">
      <c r="A10" s="201">
        <v>2</v>
      </c>
      <c r="B10" s="201">
        <v>3</v>
      </c>
      <c r="C10" s="202">
        <v>43191</v>
      </c>
      <c r="D10" s="206">
        <v>43281</v>
      </c>
      <c r="E10" s="211">
        <v>258875.04</v>
      </c>
      <c r="F10" s="200">
        <f t="shared" si="1"/>
        <v>1812125.28</v>
      </c>
      <c r="G10" s="200">
        <v>582730</v>
      </c>
      <c r="H10" s="212">
        <f t="shared" si="0"/>
        <v>3120931</v>
      </c>
      <c r="I10" s="344">
        <v>0</v>
      </c>
      <c r="J10" s="342">
        <v>0</v>
      </c>
    </row>
    <row r="11" spans="1:10" x14ac:dyDescent="0.25">
      <c r="A11" s="201">
        <v>2</v>
      </c>
      <c r="B11" s="201">
        <v>4</v>
      </c>
      <c r="C11" s="202">
        <v>43282</v>
      </c>
      <c r="D11" s="206">
        <v>43373</v>
      </c>
      <c r="E11" s="211">
        <v>258875.04</v>
      </c>
      <c r="F11" s="200">
        <f t="shared" si="1"/>
        <v>2071000.32</v>
      </c>
      <c r="G11" s="200">
        <v>278917</v>
      </c>
      <c r="H11" s="212">
        <f t="shared" si="0"/>
        <v>3399848</v>
      </c>
      <c r="I11" s="344">
        <v>0</v>
      </c>
      <c r="J11" s="342">
        <v>0</v>
      </c>
    </row>
    <row r="12" spans="1:10" x14ac:dyDescent="0.25">
      <c r="A12" s="201">
        <v>3</v>
      </c>
      <c r="B12" s="201">
        <v>1</v>
      </c>
      <c r="C12" s="202">
        <v>43374</v>
      </c>
      <c r="D12" s="206">
        <v>43465</v>
      </c>
      <c r="E12" s="211">
        <v>258875.04</v>
      </c>
      <c r="F12" s="200">
        <f t="shared" si="1"/>
        <v>2329875.36</v>
      </c>
      <c r="G12" s="200">
        <v>304662</v>
      </c>
      <c r="H12" s="212">
        <f t="shared" si="0"/>
        <v>3704510</v>
      </c>
      <c r="I12" s="344">
        <v>0</v>
      </c>
      <c r="J12" s="342">
        <v>35</v>
      </c>
    </row>
    <row r="13" spans="1:10" x14ac:dyDescent="0.25">
      <c r="A13" s="201">
        <v>3</v>
      </c>
      <c r="B13" s="201">
        <v>2</v>
      </c>
      <c r="C13" s="202">
        <v>43466</v>
      </c>
      <c r="D13" s="206">
        <v>43555</v>
      </c>
      <c r="E13" s="211">
        <v>258875.04</v>
      </c>
      <c r="F13" s="200">
        <f t="shared" si="1"/>
        <v>2588750.4</v>
      </c>
      <c r="G13" s="200">
        <v>207668</v>
      </c>
      <c r="H13" s="212">
        <f t="shared" si="0"/>
        <v>3912178</v>
      </c>
      <c r="I13" s="344">
        <v>0</v>
      </c>
      <c r="J13" s="342">
        <v>1</v>
      </c>
    </row>
    <row r="14" spans="1:10" x14ac:dyDescent="0.25">
      <c r="A14" s="201">
        <v>3</v>
      </c>
      <c r="B14" s="201">
        <v>3</v>
      </c>
      <c r="C14" s="202">
        <v>43556</v>
      </c>
      <c r="D14" s="206">
        <v>43646</v>
      </c>
      <c r="E14" s="211">
        <v>258875.04</v>
      </c>
      <c r="F14" s="200">
        <f t="shared" si="1"/>
        <v>2847625.44</v>
      </c>
      <c r="G14" s="200">
        <v>275180</v>
      </c>
      <c r="H14" s="212">
        <f t="shared" si="0"/>
        <v>4187358</v>
      </c>
      <c r="I14" s="344">
        <v>0</v>
      </c>
      <c r="J14" s="342">
        <v>9</v>
      </c>
    </row>
    <row r="15" spans="1:10" x14ac:dyDescent="0.25">
      <c r="A15" s="201">
        <v>3</v>
      </c>
      <c r="B15" s="201">
        <v>4</v>
      </c>
      <c r="C15" s="202">
        <v>43647</v>
      </c>
      <c r="D15" s="206">
        <v>43738</v>
      </c>
      <c r="E15" s="211">
        <v>258875.04</v>
      </c>
      <c r="F15" s="200">
        <f t="shared" si="1"/>
        <v>3106500.48</v>
      </c>
      <c r="G15" s="200">
        <v>173033</v>
      </c>
      <c r="H15" s="212">
        <f t="shared" si="0"/>
        <v>4360391</v>
      </c>
      <c r="I15" s="344">
        <v>0</v>
      </c>
      <c r="J15" s="342">
        <v>1</v>
      </c>
    </row>
    <row r="16" spans="1:10" x14ac:dyDescent="0.25">
      <c r="A16" s="201">
        <v>4</v>
      </c>
      <c r="B16" s="201">
        <v>1</v>
      </c>
      <c r="C16" s="202">
        <v>43739</v>
      </c>
      <c r="D16" s="206">
        <v>43830</v>
      </c>
      <c r="E16" s="211">
        <v>258875.04</v>
      </c>
      <c r="F16" s="200">
        <f t="shared" si="1"/>
        <v>3365375.52</v>
      </c>
      <c r="G16" s="200">
        <v>264771</v>
      </c>
      <c r="H16" s="212">
        <f t="shared" si="0"/>
        <v>4625162</v>
      </c>
      <c r="I16" s="344">
        <v>0</v>
      </c>
      <c r="J16" s="342">
        <v>1</v>
      </c>
    </row>
    <row r="17" spans="1:10" x14ac:dyDescent="0.25">
      <c r="A17" s="201">
        <v>4</v>
      </c>
      <c r="B17" s="201">
        <v>2</v>
      </c>
      <c r="C17" s="202">
        <v>43831</v>
      </c>
      <c r="D17" s="206">
        <v>43921</v>
      </c>
      <c r="E17" s="211">
        <v>258875.04</v>
      </c>
      <c r="F17" s="200">
        <f t="shared" si="1"/>
        <v>3624250.56</v>
      </c>
      <c r="G17" s="200">
        <v>198275</v>
      </c>
      <c r="H17" s="212">
        <f t="shared" si="0"/>
        <v>4823437</v>
      </c>
      <c r="I17" s="344">
        <v>0</v>
      </c>
      <c r="J17" s="342">
        <v>1</v>
      </c>
    </row>
    <row r="18" spans="1:10" x14ac:dyDescent="0.25">
      <c r="A18" s="201">
        <v>4</v>
      </c>
      <c r="B18" s="201">
        <v>3</v>
      </c>
      <c r="C18" s="202">
        <v>43922</v>
      </c>
      <c r="D18" s="206">
        <v>44012</v>
      </c>
      <c r="E18" s="211">
        <v>258875.04</v>
      </c>
      <c r="F18" s="200">
        <f t="shared" si="1"/>
        <v>3883125.6</v>
      </c>
      <c r="G18" s="200">
        <v>214144</v>
      </c>
      <c r="H18" s="212">
        <f t="shared" si="0"/>
        <v>5037581</v>
      </c>
      <c r="I18" s="344">
        <v>0</v>
      </c>
      <c r="J18" s="342">
        <v>1</v>
      </c>
    </row>
    <row r="19" spans="1:10" x14ac:dyDescent="0.25">
      <c r="A19" s="201">
        <v>4</v>
      </c>
      <c r="B19" s="201">
        <v>4</v>
      </c>
      <c r="C19" s="202">
        <v>44013</v>
      </c>
      <c r="D19" s="206">
        <v>44104</v>
      </c>
      <c r="E19" s="211">
        <v>258875.04</v>
      </c>
      <c r="F19" s="200">
        <f t="shared" si="1"/>
        <v>4142000.64</v>
      </c>
      <c r="G19" s="200">
        <v>103813</v>
      </c>
      <c r="H19" s="212">
        <f t="shared" si="0"/>
        <v>5141394</v>
      </c>
      <c r="I19" s="344">
        <v>0</v>
      </c>
      <c r="J19" s="342">
        <v>0</v>
      </c>
    </row>
    <row r="20" spans="1:10" x14ac:dyDescent="0.25">
      <c r="A20" s="201">
        <v>5</v>
      </c>
      <c r="B20" s="201">
        <v>1</v>
      </c>
      <c r="C20" s="202">
        <v>44105</v>
      </c>
      <c r="D20" s="206">
        <v>44196</v>
      </c>
      <c r="E20" s="211">
        <v>258875.04</v>
      </c>
      <c r="F20" s="200">
        <f t="shared" si="1"/>
        <v>4400875.68</v>
      </c>
      <c r="G20" s="200">
        <v>220264</v>
      </c>
      <c r="H20" s="212">
        <f t="shared" si="0"/>
        <v>5361658</v>
      </c>
      <c r="I20" s="344">
        <v>0</v>
      </c>
      <c r="J20" s="342">
        <v>1</v>
      </c>
    </row>
    <row r="21" spans="1:10" x14ac:dyDescent="0.25">
      <c r="A21" s="201">
        <v>5</v>
      </c>
      <c r="B21" s="201">
        <v>2</v>
      </c>
      <c r="C21" s="202">
        <v>44197</v>
      </c>
      <c r="D21" s="206">
        <v>44286</v>
      </c>
      <c r="E21" s="211">
        <v>258875.04</v>
      </c>
      <c r="F21" s="200">
        <f t="shared" si="1"/>
        <v>4659750.72</v>
      </c>
      <c r="G21" s="200">
        <v>240614</v>
      </c>
      <c r="H21" s="212">
        <f t="shared" si="0"/>
        <v>5602272</v>
      </c>
      <c r="I21" s="344">
        <v>57</v>
      </c>
      <c r="J21" s="342">
        <v>1</v>
      </c>
    </row>
    <row r="22" spans="1:10" x14ac:dyDescent="0.25">
      <c r="A22" s="201">
        <v>5</v>
      </c>
      <c r="B22" s="201">
        <v>3</v>
      </c>
      <c r="C22" s="202">
        <v>44287</v>
      </c>
      <c r="D22" s="206">
        <v>44377</v>
      </c>
      <c r="E22" s="211">
        <v>258875.04</v>
      </c>
      <c r="F22" s="200">
        <f t="shared" si="1"/>
        <v>4918625.76</v>
      </c>
      <c r="G22" s="200">
        <v>165351</v>
      </c>
      <c r="H22" s="212">
        <f t="shared" si="0"/>
        <v>5767623</v>
      </c>
      <c r="I22" s="344">
        <v>1</v>
      </c>
      <c r="J22" s="342">
        <v>1</v>
      </c>
    </row>
    <row r="23" spans="1:10" x14ac:dyDescent="0.25">
      <c r="A23" s="201">
        <v>5</v>
      </c>
      <c r="B23" s="201">
        <v>4</v>
      </c>
      <c r="C23" s="202">
        <v>44378</v>
      </c>
      <c r="D23" s="206">
        <v>44469</v>
      </c>
      <c r="E23" s="211">
        <v>258875.04</v>
      </c>
      <c r="F23" s="200">
        <f t="shared" si="1"/>
        <v>5177500.8</v>
      </c>
      <c r="G23" s="200">
        <v>185372</v>
      </c>
      <c r="H23" s="212">
        <f t="shared" si="0"/>
        <v>5952995</v>
      </c>
      <c r="I23" s="344">
        <v>1</v>
      </c>
      <c r="J23" s="342">
        <v>3</v>
      </c>
    </row>
    <row r="24" spans="1:10" x14ac:dyDescent="0.25">
      <c r="A24" s="201">
        <v>6</v>
      </c>
      <c r="B24" s="201">
        <v>1</v>
      </c>
      <c r="C24" s="202">
        <v>44470</v>
      </c>
      <c r="D24" s="206">
        <v>44561</v>
      </c>
      <c r="E24" s="211">
        <v>258875.04</v>
      </c>
      <c r="F24" s="200">
        <f>SUM(F23+E24)</f>
        <v>5436375.8399999999</v>
      </c>
      <c r="G24" s="200">
        <v>63707</v>
      </c>
      <c r="H24" s="212">
        <f t="shared" ref="H24:H29" si="2">SUM(H23+G24)</f>
        <v>6016702</v>
      </c>
      <c r="I24" s="344">
        <v>0</v>
      </c>
      <c r="J24" s="342">
        <v>1</v>
      </c>
    </row>
    <row r="25" spans="1:10" x14ac:dyDescent="0.25">
      <c r="A25" s="201">
        <v>6</v>
      </c>
      <c r="B25" s="201">
        <v>2</v>
      </c>
      <c r="C25" s="202">
        <v>44562</v>
      </c>
      <c r="D25" s="206">
        <v>44651</v>
      </c>
      <c r="E25" s="211">
        <v>258875.04</v>
      </c>
      <c r="F25" s="200">
        <f>SUM(F24+E25)</f>
        <v>5695250.8799999999</v>
      </c>
      <c r="G25" s="200">
        <v>168693</v>
      </c>
      <c r="H25" s="212">
        <f t="shared" si="2"/>
        <v>6185395</v>
      </c>
      <c r="I25" s="344">
        <v>0</v>
      </c>
      <c r="J25" s="342">
        <v>0</v>
      </c>
    </row>
    <row r="26" spans="1:10" x14ac:dyDescent="0.25">
      <c r="A26" s="201">
        <v>6</v>
      </c>
      <c r="B26" s="201">
        <v>3</v>
      </c>
      <c r="C26" s="202">
        <v>44652</v>
      </c>
      <c r="D26" s="206">
        <v>44742</v>
      </c>
      <c r="E26" s="211">
        <v>258875.04</v>
      </c>
      <c r="F26" s="200">
        <f>SUM(F25+E26)</f>
        <v>5954125.9199999999</v>
      </c>
      <c r="G26" s="200">
        <v>41440</v>
      </c>
      <c r="H26" s="212">
        <f t="shared" si="2"/>
        <v>6226835</v>
      </c>
      <c r="I26" s="344">
        <v>0</v>
      </c>
      <c r="J26" s="342">
        <v>0</v>
      </c>
    </row>
    <row r="27" spans="1:10" x14ac:dyDescent="0.25">
      <c r="A27" s="201">
        <v>6</v>
      </c>
      <c r="B27" s="201">
        <v>4</v>
      </c>
      <c r="C27" s="203">
        <v>44743</v>
      </c>
      <c r="D27" s="207">
        <v>44834</v>
      </c>
      <c r="E27" s="211">
        <v>258875.04</v>
      </c>
      <c r="F27" s="200">
        <f>SUM(F26+E27)</f>
        <v>6213000.96</v>
      </c>
      <c r="G27" s="200">
        <v>89118</v>
      </c>
      <c r="H27" s="212">
        <f t="shared" si="2"/>
        <v>6315953</v>
      </c>
      <c r="I27" s="344">
        <v>0</v>
      </c>
      <c r="J27" s="342">
        <v>19</v>
      </c>
    </row>
    <row r="28" spans="1:10" x14ac:dyDescent="0.25">
      <c r="A28" s="201">
        <v>7</v>
      </c>
      <c r="B28" s="201">
        <v>1</v>
      </c>
      <c r="C28" s="203">
        <v>44835</v>
      </c>
      <c r="D28" s="207">
        <v>44926</v>
      </c>
      <c r="E28" s="211">
        <v>258875.04</v>
      </c>
      <c r="F28" s="200">
        <f>SUM(F27+E28)</f>
        <v>6471876</v>
      </c>
      <c r="G28" s="200">
        <f>3720+835+110967</f>
        <v>115522</v>
      </c>
      <c r="H28" s="212">
        <f t="shared" si="2"/>
        <v>6431475</v>
      </c>
      <c r="I28" s="344">
        <v>27</v>
      </c>
      <c r="J28" s="342">
        <v>5</v>
      </c>
    </row>
    <row r="29" spans="1:10" x14ac:dyDescent="0.25">
      <c r="A29" s="201">
        <v>7</v>
      </c>
      <c r="B29" s="201">
        <v>2</v>
      </c>
      <c r="C29" s="203">
        <v>44927</v>
      </c>
      <c r="D29" s="207">
        <v>45016</v>
      </c>
      <c r="E29" s="316"/>
      <c r="F29" s="317"/>
      <c r="G29" s="317">
        <v>40401</v>
      </c>
      <c r="H29" s="212">
        <f t="shared" si="2"/>
        <v>6471876</v>
      </c>
      <c r="I29" s="345">
        <f>SUM(I4:I28)</f>
        <v>86</v>
      </c>
      <c r="J29" s="345">
        <f>SUM(J4:J28)</f>
        <v>86</v>
      </c>
    </row>
    <row r="30" spans="1:10" ht="15" customHeight="1" thickBot="1" x14ac:dyDescent="0.3">
      <c r="A30" s="15"/>
      <c r="B30" s="15"/>
      <c r="C30" s="15"/>
      <c r="D30" s="208"/>
      <c r="E30" s="213">
        <f>SUM(E4:E28)</f>
        <v>6471876</v>
      </c>
      <c r="F30" s="214" t="s">
        <v>71</v>
      </c>
      <c r="G30" s="214" t="s">
        <v>19</v>
      </c>
      <c r="H30" s="215">
        <f>E30-H29</f>
        <v>0</v>
      </c>
      <c r="I30" s="345" t="s">
        <v>71</v>
      </c>
      <c r="J30" s="346" t="s">
        <v>136</v>
      </c>
    </row>
    <row r="31" spans="1:10" ht="15.75" thickTop="1" x14ac:dyDescent="0.25">
      <c r="A31" s="8"/>
      <c r="B31" s="8"/>
      <c r="C31" s="8"/>
      <c r="D31" s="8"/>
      <c r="E31" s="8"/>
      <c r="F31" s="8"/>
      <c r="G31" s="8"/>
      <c r="H31" s="8"/>
    </row>
    <row r="32" spans="1:10" x14ac:dyDescent="0.25">
      <c r="A32" s="8"/>
      <c r="B32" s="8"/>
      <c r="C32" s="8"/>
      <c r="D32" s="8"/>
      <c r="E32" s="14"/>
      <c r="F32" s="8"/>
      <c r="G32" s="8"/>
      <c r="H32" s="8"/>
    </row>
  </sheetData>
  <mergeCells count="3">
    <mergeCell ref="A2:D2"/>
    <mergeCell ref="E2:H2"/>
    <mergeCell ref="A1:H1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6E311-AAA0-4949-B221-A3BD89D0D047}">
  <dimension ref="A1:J32"/>
  <sheetViews>
    <sheetView topLeftCell="A3" workbookViewId="0">
      <selection activeCell="J29" sqref="J29"/>
    </sheetView>
  </sheetViews>
  <sheetFormatPr defaultRowHeight="15" x14ac:dyDescent="0.25"/>
  <cols>
    <col min="2" max="2" width="7.85546875" bestFit="1" customWidth="1"/>
    <col min="3" max="3" width="10.7109375" bestFit="1" customWidth="1"/>
    <col min="4" max="4" width="11.85546875" bestFit="1" customWidth="1"/>
    <col min="5" max="5" width="10" bestFit="1" customWidth="1"/>
    <col min="6" max="6" width="11.5703125" bestFit="1" customWidth="1"/>
    <col min="7" max="7" width="10" bestFit="1" customWidth="1"/>
    <col min="8" max="8" width="11.5703125" bestFit="1" customWidth="1"/>
    <col min="9" max="9" width="12.85546875" customWidth="1"/>
    <col min="10" max="10" width="12.28515625" customWidth="1"/>
  </cols>
  <sheetData>
    <row r="1" spans="1:10" ht="15.75" thickBot="1" x14ac:dyDescent="0.3">
      <c r="A1" s="446" t="s">
        <v>138</v>
      </c>
      <c r="B1" s="446"/>
      <c r="C1" s="446"/>
      <c r="D1" s="446"/>
      <c r="E1" s="440"/>
      <c r="F1" s="440"/>
      <c r="G1" s="440"/>
      <c r="H1" s="440"/>
      <c r="I1" s="339"/>
      <c r="J1" s="339"/>
    </row>
    <row r="2" spans="1:10" ht="15.75" thickTop="1" x14ac:dyDescent="0.25">
      <c r="A2" s="441" t="s">
        <v>30</v>
      </c>
      <c r="B2" s="441"/>
      <c r="C2" s="441"/>
      <c r="D2" s="442"/>
      <c r="E2" s="443" t="s">
        <v>131</v>
      </c>
      <c r="F2" s="444"/>
      <c r="G2" s="444"/>
      <c r="H2" s="445"/>
      <c r="I2" s="340"/>
      <c r="J2" s="340"/>
    </row>
    <row r="3" spans="1:10" ht="48" customHeight="1" x14ac:dyDescent="0.25">
      <c r="A3" s="201" t="s">
        <v>46</v>
      </c>
      <c r="B3" s="201" t="s">
        <v>47</v>
      </c>
      <c r="C3" s="201" t="s">
        <v>39</v>
      </c>
      <c r="D3" s="205" t="s">
        <v>40</v>
      </c>
      <c r="E3" s="209" t="s">
        <v>75</v>
      </c>
      <c r="F3" s="182" t="s">
        <v>114</v>
      </c>
      <c r="G3" s="182" t="s">
        <v>115</v>
      </c>
      <c r="H3" s="210" t="s">
        <v>133</v>
      </c>
      <c r="I3" s="343" t="s">
        <v>134</v>
      </c>
      <c r="J3" s="341" t="s">
        <v>135</v>
      </c>
    </row>
    <row r="4" spans="1:10" x14ac:dyDescent="0.25">
      <c r="A4" s="201">
        <v>1</v>
      </c>
      <c r="B4" s="201">
        <v>1</v>
      </c>
      <c r="C4" s="202">
        <v>42644</v>
      </c>
      <c r="D4" s="206">
        <v>42735</v>
      </c>
      <c r="E4" s="211">
        <v>24693.88</v>
      </c>
      <c r="F4" s="200">
        <f>SUM(0+ E4)</f>
        <v>24693.88</v>
      </c>
      <c r="G4" s="200">
        <v>0</v>
      </c>
      <c r="H4" s="212">
        <f>G4</f>
        <v>0</v>
      </c>
      <c r="I4" s="344">
        <v>0</v>
      </c>
      <c r="J4" s="342">
        <v>2</v>
      </c>
    </row>
    <row r="5" spans="1:10" x14ac:dyDescent="0.25">
      <c r="A5" s="201">
        <v>1</v>
      </c>
      <c r="B5" s="201">
        <v>2</v>
      </c>
      <c r="C5" s="202">
        <v>42736</v>
      </c>
      <c r="D5" s="206">
        <v>42825</v>
      </c>
      <c r="E5" s="211">
        <v>24693.88</v>
      </c>
      <c r="F5" s="200">
        <f>SUM(F4+E5)</f>
        <v>49387.76</v>
      </c>
      <c r="G5" s="200">
        <v>23014</v>
      </c>
      <c r="H5" s="212">
        <f t="shared" ref="H5:H23" si="0">SUM(H4+G5)</f>
        <v>23014</v>
      </c>
      <c r="I5" s="344">
        <v>0</v>
      </c>
      <c r="J5" s="342">
        <v>1</v>
      </c>
    </row>
    <row r="6" spans="1:10" x14ac:dyDescent="0.25">
      <c r="A6" s="201">
        <v>1</v>
      </c>
      <c r="B6" s="201">
        <v>3</v>
      </c>
      <c r="C6" s="202">
        <v>42826</v>
      </c>
      <c r="D6" s="206">
        <v>42916</v>
      </c>
      <c r="E6" s="211">
        <v>24693.88</v>
      </c>
      <c r="F6" s="200">
        <f t="shared" ref="F6:F23" si="1">SUM(F5+E6)</f>
        <v>74081.64</v>
      </c>
      <c r="G6" s="200">
        <v>8297</v>
      </c>
      <c r="H6" s="212">
        <f t="shared" si="0"/>
        <v>31311</v>
      </c>
      <c r="I6" s="344">
        <v>0</v>
      </c>
      <c r="J6" s="342">
        <v>4</v>
      </c>
    </row>
    <row r="7" spans="1:10" x14ac:dyDescent="0.25">
      <c r="A7" s="201">
        <v>1</v>
      </c>
      <c r="B7" s="201">
        <v>4</v>
      </c>
      <c r="C7" s="202">
        <v>42917</v>
      </c>
      <c r="D7" s="206">
        <v>43008</v>
      </c>
      <c r="E7" s="211">
        <v>24693.88</v>
      </c>
      <c r="F7" s="200">
        <f t="shared" si="1"/>
        <v>98775.52</v>
      </c>
      <c r="G7" s="200">
        <v>127471</v>
      </c>
      <c r="H7" s="212">
        <f t="shared" si="0"/>
        <v>158782</v>
      </c>
      <c r="I7" s="344">
        <v>0</v>
      </c>
      <c r="J7" s="342">
        <v>5</v>
      </c>
    </row>
    <row r="8" spans="1:10" x14ac:dyDescent="0.25">
      <c r="A8" s="201">
        <v>2</v>
      </c>
      <c r="B8" s="201">
        <v>1</v>
      </c>
      <c r="C8" s="202">
        <v>43009</v>
      </c>
      <c r="D8" s="206">
        <v>43100</v>
      </c>
      <c r="E8" s="211">
        <v>24693.88</v>
      </c>
      <c r="F8" s="200">
        <f t="shared" si="1"/>
        <v>123469.40000000001</v>
      </c>
      <c r="G8" s="200">
        <v>0</v>
      </c>
      <c r="H8" s="212">
        <f t="shared" si="0"/>
        <v>158782</v>
      </c>
      <c r="I8" s="344">
        <v>0</v>
      </c>
      <c r="J8" s="342">
        <v>1</v>
      </c>
    </row>
    <row r="9" spans="1:10" x14ac:dyDescent="0.25">
      <c r="A9" s="201">
        <v>2</v>
      </c>
      <c r="B9" s="201">
        <v>2</v>
      </c>
      <c r="C9" s="202">
        <v>43101</v>
      </c>
      <c r="D9" s="206">
        <v>43190</v>
      </c>
      <c r="E9" s="211">
        <v>24693.88</v>
      </c>
      <c r="F9" s="200">
        <f t="shared" si="1"/>
        <v>148163.28</v>
      </c>
      <c r="G9" s="200">
        <v>81777</v>
      </c>
      <c r="H9" s="212">
        <f t="shared" si="0"/>
        <v>240559</v>
      </c>
      <c r="I9" s="344">
        <v>0</v>
      </c>
      <c r="J9" s="342">
        <v>1</v>
      </c>
    </row>
    <row r="10" spans="1:10" x14ac:dyDescent="0.25">
      <c r="A10" s="201">
        <v>2</v>
      </c>
      <c r="B10" s="201">
        <v>3</v>
      </c>
      <c r="C10" s="202">
        <v>43191</v>
      </c>
      <c r="D10" s="206">
        <v>43281</v>
      </c>
      <c r="E10" s="211">
        <v>24693.88</v>
      </c>
      <c r="F10" s="200">
        <f t="shared" si="1"/>
        <v>172857.16</v>
      </c>
      <c r="G10" s="200">
        <v>39168</v>
      </c>
      <c r="H10" s="212">
        <f t="shared" si="0"/>
        <v>279727</v>
      </c>
      <c r="I10" s="344">
        <v>0</v>
      </c>
      <c r="J10" s="342">
        <v>1</v>
      </c>
    </row>
    <row r="11" spans="1:10" x14ac:dyDescent="0.25">
      <c r="A11" s="201">
        <v>2</v>
      </c>
      <c r="B11" s="201">
        <v>4</v>
      </c>
      <c r="C11" s="202">
        <v>43282</v>
      </c>
      <c r="D11" s="206">
        <v>43373</v>
      </c>
      <c r="E11" s="211">
        <v>24693.88</v>
      </c>
      <c r="F11" s="200">
        <f t="shared" si="1"/>
        <v>197551.04</v>
      </c>
      <c r="G11" s="200">
        <v>45782</v>
      </c>
      <c r="H11" s="212">
        <f t="shared" si="0"/>
        <v>325509</v>
      </c>
      <c r="I11" s="344">
        <v>0</v>
      </c>
      <c r="J11" s="342">
        <v>1</v>
      </c>
    </row>
    <row r="12" spans="1:10" x14ac:dyDescent="0.25">
      <c r="A12" s="201">
        <v>3</v>
      </c>
      <c r="B12" s="201">
        <v>1</v>
      </c>
      <c r="C12" s="202">
        <v>43374</v>
      </c>
      <c r="D12" s="206">
        <v>43465</v>
      </c>
      <c r="E12" s="211">
        <v>24693.88</v>
      </c>
      <c r="F12" s="200">
        <f t="shared" si="1"/>
        <v>222244.92</v>
      </c>
      <c r="G12" s="200">
        <v>0</v>
      </c>
      <c r="H12" s="212">
        <f t="shared" si="0"/>
        <v>325509</v>
      </c>
      <c r="I12" s="344">
        <v>0</v>
      </c>
      <c r="J12" s="342">
        <v>1</v>
      </c>
    </row>
    <row r="13" spans="1:10" x14ac:dyDescent="0.25">
      <c r="A13" s="201">
        <v>3</v>
      </c>
      <c r="B13" s="201">
        <v>2</v>
      </c>
      <c r="C13" s="202">
        <v>43466</v>
      </c>
      <c r="D13" s="206">
        <v>43555</v>
      </c>
      <c r="E13" s="211">
        <v>24693.88</v>
      </c>
      <c r="F13" s="200">
        <f t="shared" si="1"/>
        <v>246938.80000000002</v>
      </c>
      <c r="G13" s="200">
        <v>59237</v>
      </c>
      <c r="H13" s="212">
        <f t="shared" si="0"/>
        <v>384746</v>
      </c>
      <c r="I13" s="344">
        <v>0</v>
      </c>
      <c r="J13" s="342">
        <v>1</v>
      </c>
    </row>
    <row r="14" spans="1:10" x14ac:dyDescent="0.25">
      <c r="A14" s="201">
        <v>3</v>
      </c>
      <c r="B14" s="201">
        <v>3</v>
      </c>
      <c r="C14" s="202">
        <v>43556</v>
      </c>
      <c r="D14" s="206">
        <v>43646</v>
      </c>
      <c r="E14" s="211">
        <v>24693.88</v>
      </c>
      <c r="F14" s="200">
        <f t="shared" si="1"/>
        <v>271632.68</v>
      </c>
      <c r="G14" s="200">
        <v>19288</v>
      </c>
      <c r="H14" s="212">
        <f t="shared" si="0"/>
        <v>404034</v>
      </c>
      <c r="I14" s="344">
        <v>0</v>
      </c>
      <c r="J14" s="342">
        <v>1</v>
      </c>
    </row>
    <row r="15" spans="1:10" x14ac:dyDescent="0.25">
      <c r="A15" s="201">
        <v>3</v>
      </c>
      <c r="B15" s="201">
        <v>4</v>
      </c>
      <c r="C15" s="202">
        <v>43647</v>
      </c>
      <c r="D15" s="206">
        <v>43738</v>
      </c>
      <c r="E15" s="211">
        <v>24693.88</v>
      </c>
      <c r="F15" s="200">
        <f t="shared" si="1"/>
        <v>296326.56</v>
      </c>
      <c r="G15" s="200">
        <v>34428</v>
      </c>
      <c r="H15" s="212">
        <f t="shared" si="0"/>
        <v>438462</v>
      </c>
      <c r="I15" s="344">
        <v>0</v>
      </c>
      <c r="J15" s="342">
        <v>1</v>
      </c>
    </row>
    <row r="16" spans="1:10" x14ac:dyDescent="0.25">
      <c r="A16" s="201">
        <v>4</v>
      </c>
      <c r="B16" s="201">
        <v>1</v>
      </c>
      <c r="C16" s="202">
        <v>43739</v>
      </c>
      <c r="D16" s="206">
        <v>43830</v>
      </c>
      <c r="E16" s="211">
        <v>24693.88</v>
      </c>
      <c r="F16" s="200">
        <f t="shared" si="1"/>
        <v>321020.44</v>
      </c>
      <c r="G16" s="200">
        <v>0</v>
      </c>
      <c r="H16" s="212">
        <f t="shared" si="0"/>
        <v>438462</v>
      </c>
      <c r="I16" s="344">
        <v>0</v>
      </c>
      <c r="J16" s="342">
        <v>1</v>
      </c>
    </row>
    <row r="17" spans="1:10" x14ac:dyDescent="0.25">
      <c r="A17" s="201">
        <v>4</v>
      </c>
      <c r="B17" s="201">
        <v>2</v>
      </c>
      <c r="C17" s="202">
        <v>43831</v>
      </c>
      <c r="D17" s="206">
        <v>43921</v>
      </c>
      <c r="E17" s="211">
        <v>24693.88</v>
      </c>
      <c r="F17" s="200">
        <f t="shared" si="1"/>
        <v>345714.32</v>
      </c>
      <c r="G17" s="200">
        <v>48580</v>
      </c>
      <c r="H17" s="212">
        <f t="shared" si="0"/>
        <v>487042</v>
      </c>
      <c r="I17" s="344">
        <v>0</v>
      </c>
      <c r="J17" s="342">
        <v>1</v>
      </c>
    </row>
    <row r="18" spans="1:10" x14ac:dyDescent="0.25">
      <c r="A18" s="201">
        <v>4</v>
      </c>
      <c r="B18" s="201">
        <v>3</v>
      </c>
      <c r="C18" s="202">
        <v>43922</v>
      </c>
      <c r="D18" s="206">
        <v>44012</v>
      </c>
      <c r="E18" s="211">
        <v>24693.88</v>
      </c>
      <c r="F18" s="200">
        <f t="shared" si="1"/>
        <v>370408.2</v>
      </c>
      <c r="G18" s="200">
        <v>11664</v>
      </c>
      <c r="H18" s="212">
        <f t="shared" si="0"/>
        <v>498706</v>
      </c>
      <c r="I18" s="344">
        <v>0</v>
      </c>
      <c r="J18" s="342">
        <v>9</v>
      </c>
    </row>
    <row r="19" spans="1:10" x14ac:dyDescent="0.25">
      <c r="A19" s="201">
        <v>4</v>
      </c>
      <c r="B19" s="201">
        <v>4</v>
      </c>
      <c r="C19" s="202">
        <v>44013</v>
      </c>
      <c r="D19" s="206">
        <v>44104</v>
      </c>
      <c r="E19" s="211">
        <v>24693.88</v>
      </c>
      <c r="F19" s="200">
        <f t="shared" si="1"/>
        <v>395102.08</v>
      </c>
      <c r="G19" s="200">
        <v>13519</v>
      </c>
      <c r="H19" s="212">
        <f t="shared" si="0"/>
        <v>512225</v>
      </c>
      <c r="I19" s="344">
        <v>0</v>
      </c>
      <c r="J19" s="342">
        <v>1</v>
      </c>
    </row>
    <row r="20" spans="1:10" x14ac:dyDescent="0.25">
      <c r="A20" s="201">
        <v>5</v>
      </c>
      <c r="B20" s="201">
        <v>1</v>
      </c>
      <c r="C20" s="202">
        <v>44105</v>
      </c>
      <c r="D20" s="206">
        <v>44196</v>
      </c>
      <c r="E20" s="211">
        <v>24693.88</v>
      </c>
      <c r="F20" s="200">
        <f t="shared" si="1"/>
        <v>419795.96</v>
      </c>
      <c r="G20" s="200">
        <v>0</v>
      </c>
      <c r="H20" s="212">
        <f t="shared" si="0"/>
        <v>512225</v>
      </c>
      <c r="I20" s="344">
        <v>0</v>
      </c>
      <c r="J20" s="342">
        <v>10</v>
      </c>
    </row>
    <row r="21" spans="1:10" x14ac:dyDescent="0.25">
      <c r="A21" s="201">
        <v>5</v>
      </c>
      <c r="B21" s="201">
        <v>2</v>
      </c>
      <c r="C21" s="202">
        <v>44197</v>
      </c>
      <c r="D21" s="206">
        <v>44286</v>
      </c>
      <c r="E21" s="211">
        <v>24693.88</v>
      </c>
      <c r="F21" s="200">
        <f t="shared" si="1"/>
        <v>444489.84</v>
      </c>
      <c r="G21" s="200">
        <v>14671</v>
      </c>
      <c r="H21" s="212">
        <f t="shared" si="0"/>
        <v>526896</v>
      </c>
      <c r="I21" s="344">
        <v>43</v>
      </c>
      <c r="J21" s="342">
        <v>1</v>
      </c>
    </row>
    <row r="22" spans="1:10" x14ac:dyDescent="0.25">
      <c r="A22" s="201">
        <v>5</v>
      </c>
      <c r="B22" s="201">
        <v>3</v>
      </c>
      <c r="C22" s="202">
        <v>44287</v>
      </c>
      <c r="D22" s="206">
        <v>44377</v>
      </c>
      <c r="E22" s="211">
        <v>24693.88</v>
      </c>
      <c r="F22" s="200">
        <f t="shared" si="1"/>
        <v>469183.72000000003</v>
      </c>
      <c r="G22" s="200">
        <v>8846</v>
      </c>
      <c r="H22" s="212">
        <f t="shared" si="0"/>
        <v>535742</v>
      </c>
      <c r="I22" s="344">
        <v>1</v>
      </c>
      <c r="J22" s="342">
        <v>1</v>
      </c>
    </row>
    <row r="23" spans="1:10" x14ac:dyDescent="0.25">
      <c r="A23" s="201">
        <v>5</v>
      </c>
      <c r="B23" s="201">
        <v>4</v>
      </c>
      <c r="C23" s="202">
        <v>44378</v>
      </c>
      <c r="D23" s="206">
        <v>44469</v>
      </c>
      <c r="E23" s="211">
        <v>24693.88</v>
      </c>
      <c r="F23" s="200">
        <f t="shared" si="1"/>
        <v>493877.60000000003</v>
      </c>
      <c r="G23" s="200">
        <v>4246</v>
      </c>
      <c r="H23" s="212">
        <f t="shared" si="0"/>
        <v>539988</v>
      </c>
      <c r="I23" s="344">
        <v>2</v>
      </c>
      <c r="J23" s="342">
        <v>2</v>
      </c>
    </row>
    <row r="24" spans="1:10" x14ac:dyDescent="0.25">
      <c r="A24" s="201">
        <v>6</v>
      </c>
      <c r="B24" s="201">
        <v>1</v>
      </c>
      <c r="C24" s="202">
        <v>44470</v>
      </c>
      <c r="D24" s="206">
        <v>44561</v>
      </c>
      <c r="E24" s="211">
        <v>24693.88</v>
      </c>
      <c r="F24" s="200">
        <f>SUM(F23+E24)</f>
        <v>518571.48000000004</v>
      </c>
      <c r="G24" s="200">
        <v>0</v>
      </c>
      <c r="H24" s="212">
        <f t="shared" ref="H24:H29" si="2">SUM(H23+G24)</f>
        <v>539988</v>
      </c>
      <c r="I24" s="344">
        <v>0</v>
      </c>
      <c r="J24" s="342">
        <v>0</v>
      </c>
    </row>
    <row r="25" spans="1:10" x14ac:dyDescent="0.25">
      <c r="A25" s="201">
        <v>6</v>
      </c>
      <c r="B25" s="201">
        <v>2</v>
      </c>
      <c r="C25" s="202">
        <v>44562</v>
      </c>
      <c r="D25" s="206">
        <v>44651</v>
      </c>
      <c r="E25" s="211">
        <v>24693.88</v>
      </c>
      <c r="F25" s="200">
        <f>SUM(F24+E25)</f>
        <v>543265.36</v>
      </c>
      <c r="G25" s="200">
        <v>4567</v>
      </c>
      <c r="H25" s="212">
        <f t="shared" si="2"/>
        <v>544555</v>
      </c>
      <c r="I25" s="344">
        <v>0</v>
      </c>
      <c r="J25" s="342">
        <v>0</v>
      </c>
    </row>
    <row r="26" spans="1:10" x14ac:dyDescent="0.25">
      <c r="A26" s="201">
        <v>6</v>
      </c>
      <c r="B26" s="201">
        <v>3</v>
      </c>
      <c r="C26" s="202">
        <v>44652</v>
      </c>
      <c r="D26" s="206">
        <v>44742</v>
      </c>
      <c r="E26" s="211">
        <v>24693.88</v>
      </c>
      <c r="F26" s="200">
        <f>SUM(F25+E26)</f>
        <v>567959.24</v>
      </c>
      <c r="G26" s="200">
        <v>0</v>
      </c>
      <c r="H26" s="212">
        <f t="shared" si="2"/>
        <v>544555</v>
      </c>
      <c r="I26" s="344">
        <v>0</v>
      </c>
      <c r="J26" s="342">
        <v>0</v>
      </c>
    </row>
    <row r="27" spans="1:10" x14ac:dyDescent="0.25">
      <c r="A27" s="201">
        <v>6</v>
      </c>
      <c r="B27" s="201">
        <v>4</v>
      </c>
      <c r="C27" s="203">
        <v>44743</v>
      </c>
      <c r="D27" s="207">
        <v>44834</v>
      </c>
      <c r="E27" s="211">
        <v>24693.88</v>
      </c>
      <c r="F27" s="200">
        <f>SUM(F26+E27)</f>
        <v>592653.12</v>
      </c>
      <c r="G27" s="200">
        <v>29932</v>
      </c>
      <c r="H27" s="212">
        <f t="shared" si="2"/>
        <v>574487</v>
      </c>
      <c r="I27" s="344">
        <v>0</v>
      </c>
      <c r="J27" s="342">
        <v>0</v>
      </c>
    </row>
    <row r="28" spans="1:10" x14ac:dyDescent="0.25">
      <c r="A28" s="201">
        <v>7</v>
      </c>
      <c r="B28" s="201">
        <v>1</v>
      </c>
      <c r="C28" s="203">
        <v>44835</v>
      </c>
      <c r="D28" s="207">
        <v>44926</v>
      </c>
      <c r="E28" s="211">
        <v>24693.88</v>
      </c>
      <c r="F28" s="200">
        <f>SUM(F27+E28)</f>
        <v>617347</v>
      </c>
      <c r="G28" s="200">
        <v>20201</v>
      </c>
      <c r="H28" s="212">
        <f t="shared" si="2"/>
        <v>594688</v>
      </c>
      <c r="I28" s="344">
        <v>2</v>
      </c>
      <c r="J28" s="342">
        <v>2</v>
      </c>
    </row>
    <row r="29" spans="1:10" x14ac:dyDescent="0.25">
      <c r="A29" s="201">
        <v>7</v>
      </c>
      <c r="B29" s="201">
        <v>2</v>
      </c>
      <c r="C29" s="203">
        <v>44927</v>
      </c>
      <c r="D29" s="207">
        <v>45016</v>
      </c>
      <c r="E29" s="316"/>
      <c r="F29" s="317"/>
      <c r="G29" s="317">
        <v>21014</v>
      </c>
      <c r="H29" s="212">
        <f t="shared" si="2"/>
        <v>615702</v>
      </c>
      <c r="I29" s="345">
        <f>SUM(I4:I28)</f>
        <v>48</v>
      </c>
      <c r="J29" s="345">
        <f>SUM(J4:J28)</f>
        <v>48</v>
      </c>
    </row>
    <row r="30" spans="1:10" ht="15.75" thickBot="1" x14ac:dyDescent="0.3">
      <c r="A30" s="15"/>
      <c r="B30" s="15"/>
      <c r="C30" s="15"/>
      <c r="D30" s="208"/>
      <c r="E30" s="213">
        <v>615702</v>
      </c>
      <c r="F30" s="214" t="s">
        <v>71</v>
      </c>
      <c r="G30" s="214" t="s">
        <v>19</v>
      </c>
      <c r="H30" s="215">
        <f>E30-H29</f>
        <v>0</v>
      </c>
      <c r="I30" s="345" t="s">
        <v>71</v>
      </c>
      <c r="J30" s="346" t="s">
        <v>136</v>
      </c>
    </row>
    <row r="31" spans="1:10" ht="15.75" thickTop="1" x14ac:dyDescent="0.25"/>
    <row r="32" spans="1:10" x14ac:dyDescent="0.25">
      <c r="E32" s="14"/>
    </row>
  </sheetData>
  <mergeCells count="3">
    <mergeCell ref="A1:H1"/>
    <mergeCell ref="A2:D2"/>
    <mergeCell ref="E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C73FA-1024-4E5D-BF8E-F064B973DC05}">
  <sheetPr>
    <tabColor rgb="FF92D050"/>
  </sheetPr>
  <dimension ref="A2:X116"/>
  <sheetViews>
    <sheetView topLeftCell="A75" zoomScale="70" zoomScaleNormal="70" workbookViewId="0">
      <selection activeCell="C120" sqref="C120"/>
    </sheetView>
  </sheetViews>
  <sheetFormatPr defaultRowHeight="15" x14ac:dyDescent="0.25"/>
  <cols>
    <col min="1" max="1" width="26" customWidth="1"/>
    <col min="2" max="3" width="28.7109375" bestFit="1" customWidth="1"/>
    <col min="4" max="4" width="25.42578125" bestFit="1" customWidth="1"/>
    <col min="5" max="5" width="25.42578125" customWidth="1"/>
    <col min="6" max="24" width="16.42578125" bestFit="1" customWidth="1"/>
    <col min="219" max="219" width="26" customWidth="1"/>
    <col min="220" max="220" width="17.85546875" customWidth="1"/>
    <col min="221" max="221" width="16.42578125" customWidth="1"/>
    <col min="222" max="224" width="15.7109375" bestFit="1" customWidth="1"/>
    <col min="225" max="225" width="16.7109375" bestFit="1" customWidth="1"/>
    <col min="226" max="228" width="15.7109375" bestFit="1" customWidth="1"/>
    <col min="229" max="229" width="16.7109375" bestFit="1" customWidth="1"/>
    <col min="230" max="232" width="15.7109375" bestFit="1" customWidth="1"/>
    <col min="233" max="233" width="16.7109375" bestFit="1" customWidth="1"/>
    <col min="234" max="234" width="15.7109375" bestFit="1" customWidth="1"/>
    <col min="235" max="236" width="16.42578125" bestFit="1" customWidth="1"/>
    <col min="237" max="237" width="16.7109375" bestFit="1" customWidth="1"/>
    <col min="238" max="240" width="16.42578125" bestFit="1" customWidth="1"/>
    <col min="241" max="241" width="16.7109375" bestFit="1" customWidth="1"/>
    <col min="242" max="280" width="16.42578125" bestFit="1" customWidth="1"/>
    <col min="475" max="475" width="26" customWidth="1"/>
    <col min="476" max="476" width="17.85546875" customWidth="1"/>
    <col min="477" max="477" width="16.42578125" customWidth="1"/>
    <col min="478" max="480" width="15.7109375" bestFit="1" customWidth="1"/>
    <col min="481" max="481" width="16.7109375" bestFit="1" customWidth="1"/>
    <col min="482" max="484" width="15.7109375" bestFit="1" customWidth="1"/>
    <col min="485" max="485" width="16.7109375" bestFit="1" customWidth="1"/>
    <col min="486" max="488" width="15.7109375" bestFit="1" customWidth="1"/>
    <col min="489" max="489" width="16.7109375" bestFit="1" customWidth="1"/>
    <col min="490" max="490" width="15.7109375" bestFit="1" customWidth="1"/>
    <col min="491" max="492" width="16.42578125" bestFit="1" customWidth="1"/>
    <col min="493" max="493" width="16.7109375" bestFit="1" customWidth="1"/>
    <col min="494" max="496" width="16.42578125" bestFit="1" customWidth="1"/>
    <col min="497" max="497" width="16.7109375" bestFit="1" customWidth="1"/>
    <col min="498" max="536" width="16.42578125" bestFit="1" customWidth="1"/>
    <col min="731" max="731" width="26" customWidth="1"/>
    <col min="732" max="732" width="17.85546875" customWidth="1"/>
    <col min="733" max="733" width="16.42578125" customWidth="1"/>
    <col min="734" max="736" width="15.7109375" bestFit="1" customWidth="1"/>
    <col min="737" max="737" width="16.7109375" bestFit="1" customWidth="1"/>
    <col min="738" max="740" width="15.7109375" bestFit="1" customWidth="1"/>
    <col min="741" max="741" width="16.7109375" bestFit="1" customWidth="1"/>
    <col min="742" max="744" width="15.7109375" bestFit="1" customWidth="1"/>
    <col min="745" max="745" width="16.7109375" bestFit="1" customWidth="1"/>
    <col min="746" max="746" width="15.7109375" bestFit="1" customWidth="1"/>
    <col min="747" max="748" width="16.42578125" bestFit="1" customWidth="1"/>
    <col min="749" max="749" width="16.7109375" bestFit="1" customWidth="1"/>
    <col min="750" max="752" width="16.42578125" bestFit="1" customWidth="1"/>
    <col min="753" max="753" width="16.7109375" bestFit="1" customWidth="1"/>
    <col min="754" max="792" width="16.42578125" bestFit="1" customWidth="1"/>
    <col min="987" max="987" width="26" customWidth="1"/>
    <col min="988" max="988" width="17.85546875" customWidth="1"/>
    <col min="989" max="989" width="16.42578125" customWidth="1"/>
    <col min="990" max="992" width="15.7109375" bestFit="1" customWidth="1"/>
    <col min="993" max="993" width="16.7109375" bestFit="1" customWidth="1"/>
    <col min="994" max="996" width="15.7109375" bestFit="1" customWidth="1"/>
    <col min="997" max="997" width="16.7109375" bestFit="1" customWidth="1"/>
    <col min="998" max="1000" width="15.7109375" bestFit="1" customWidth="1"/>
    <col min="1001" max="1001" width="16.7109375" bestFit="1" customWidth="1"/>
    <col min="1002" max="1002" width="15.7109375" bestFit="1" customWidth="1"/>
    <col min="1003" max="1004" width="16.42578125" bestFit="1" customWidth="1"/>
    <col min="1005" max="1005" width="16.7109375" bestFit="1" customWidth="1"/>
    <col min="1006" max="1008" width="16.42578125" bestFit="1" customWidth="1"/>
    <col min="1009" max="1009" width="16.7109375" bestFit="1" customWidth="1"/>
    <col min="1010" max="1048" width="16.42578125" bestFit="1" customWidth="1"/>
    <col min="1243" max="1243" width="26" customWidth="1"/>
    <col min="1244" max="1244" width="17.85546875" customWidth="1"/>
    <col min="1245" max="1245" width="16.42578125" customWidth="1"/>
    <col min="1246" max="1248" width="15.7109375" bestFit="1" customWidth="1"/>
    <col min="1249" max="1249" width="16.7109375" bestFit="1" customWidth="1"/>
    <col min="1250" max="1252" width="15.7109375" bestFit="1" customWidth="1"/>
    <col min="1253" max="1253" width="16.7109375" bestFit="1" customWidth="1"/>
    <col min="1254" max="1256" width="15.7109375" bestFit="1" customWidth="1"/>
    <col min="1257" max="1257" width="16.7109375" bestFit="1" customWidth="1"/>
    <col min="1258" max="1258" width="15.7109375" bestFit="1" customWidth="1"/>
    <col min="1259" max="1260" width="16.42578125" bestFit="1" customWidth="1"/>
    <col min="1261" max="1261" width="16.7109375" bestFit="1" customWidth="1"/>
    <col min="1262" max="1264" width="16.42578125" bestFit="1" customWidth="1"/>
    <col min="1265" max="1265" width="16.7109375" bestFit="1" customWidth="1"/>
    <col min="1266" max="1304" width="16.42578125" bestFit="1" customWidth="1"/>
    <col min="1499" max="1499" width="26" customWidth="1"/>
    <col min="1500" max="1500" width="17.85546875" customWidth="1"/>
    <col min="1501" max="1501" width="16.42578125" customWidth="1"/>
    <col min="1502" max="1504" width="15.7109375" bestFit="1" customWidth="1"/>
    <col min="1505" max="1505" width="16.7109375" bestFit="1" customWidth="1"/>
    <col min="1506" max="1508" width="15.7109375" bestFit="1" customWidth="1"/>
    <col min="1509" max="1509" width="16.7109375" bestFit="1" customWidth="1"/>
    <col min="1510" max="1512" width="15.7109375" bestFit="1" customWidth="1"/>
    <col min="1513" max="1513" width="16.7109375" bestFit="1" customWidth="1"/>
    <col min="1514" max="1514" width="15.7109375" bestFit="1" customWidth="1"/>
    <col min="1515" max="1516" width="16.42578125" bestFit="1" customWidth="1"/>
    <col min="1517" max="1517" width="16.7109375" bestFit="1" customWidth="1"/>
    <col min="1518" max="1520" width="16.42578125" bestFit="1" customWidth="1"/>
    <col min="1521" max="1521" width="16.7109375" bestFit="1" customWidth="1"/>
    <col min="1522" max="1560" width="16.42578125" bestFit="1" customWidth="1"/>
    <col min="1755" max="1755" width="26" customWidth="1"/>
    <col min="1756" max="1756" width="17.85546875" customWidth="1"/>
    <col min="1757" max="1757" width="16.42578125" customWidth="1"/>
    <col min="1758" max="1760" width="15.7109375" bestFit="1" customWidth="1"/>
    <col min="1761" max="1761" width="16.7109375" bestFit="1" customWidth="1"/>
    <col min="1762" max="1764" width="15.7109375" bestFit="1" customWidth="1"/>
    <col min="1765" max="1765" width="16.7109375" bestFit="1" customWidth="1"/>
    <col min="1766" max="1768" width="15.7109375" bestFit="1" customWidth="1"/>
    <col min="1769" max="1769" width="16.7109375" bestFit="1" customWidth="1"/>
    <col min="1770" max="1770" width="15.7109375" bestFit="1" customWidth="1"/>
    <col min="1771" max="1772" width="16.42578125" bestFit="1" customWidth="1"/>
    <col min="1773" max="1773" width="16.7109375" bestFit="1" customWidth="1"/>
    <col min="1774" max="1776" width="16.42578125" bestFit="1" customWidth="1"/>
    <col min="1777" max="1777" width="16.7109375" bestFit="1" customWidth="1"/>
    <col min="1778" max="1816" width="16.42578125" bestFit="1" customWidth="1"/>
    <col min="2011" max="2011" width="26" customWidth="1"/>
    <col min="2012" max="2012" width="17.85546875" customWidth="1"/>
    <col min="2013" max="2013" width="16.42578125" customWidth="1"/>
    <col min="2014" max="2016" width="15.7109375" bestFit="1" customWidth="1"/>
    <col min="2017" max="2017" width="16.7109375" bestFit="1" customWidth="1"/>
    <col min="2018" max="2020" width="15.7109375" bestFit="1" customWidth="1"/>
    <col min="2021" max="2021" width="16.7109375" bestFit="1" customWidth="1"/>
    <col min="2022" max="2024" width="15.7109375" bestFit="1" customWidth="1"/>
    <col min="2025" max="2025" width="16.7109375" bestFit="1" customWidth="1"/>
    <col min="2026" max="2026" width="15.7109375" bestFit="1" customWidth="1"/>
    <col min="2027" max="2028" width="16.42578125" bestFit="1" customWidth="1"/>
    <col min="2029" max="2029" width="16.7109375" bestFit="1" customWidth="1"/>
    <col min="2030" max="2032" width="16.42578125" bestFit="1" customWidth="1"/>
    <col min="2033" max="2033" width="16.7109375" bestFit="1" customWidth="1"/>
    <col min="2034" max="2072" width="16.42578125" bestFit="1" customWidth="1"/>
    <col min="2267" max="2267" width="26" customWidth="1"/>
    <col min="2268" max="2268" width="17.85546875" customWidth="1"/>
    <col min="2269" max="2269" width="16.42578125" customWidth="1"/>
    <col min="2270" max="2272" width="15.7109375" bestFit="1" customWidth="1"/>
    <col min="2273" max="2273" width="16.7109375" bestFit="1" customWidth="1"/>
    <col min="2274" max="2276" width="15.7109375" bestFit="1" customWidth="1"/>
    <col min="2277" max="2277" width="16.7109375" bestFit="1" customWidth="1"/>
    <col min="2278" max="2280" width="15.7109375" bestFit="1" customWidth="1"/>
    <col min="2281" max="2281" width="16.7109375" bestFit="1" customWidth="1"/>
    <col min="2282" max="2282" width="15.7109375" bestFit="1" customWidth="1"/>
    <col min="2283" max="2284" width="16.42578125" bestFit="1" customWidth="1"/>
    <col min="2285" max="2285" width="16.7109375" bestFit="1" customWidth="1"/>
    <col min="2286" max="2288" width="16.42578125" bestFit="1" customWidth="1"/>
    <col min="2289" max="2289" width="16.7109375" bestFit="1" customWidth="1"/>
    <col min="2290" max="2328" width="16.42578125" bestFit="1" customWidth="1"/>
    <col min="2523" max="2523" width="26" customWidth="1"/>
    <col min="2524" max="2524" width="17.85546875" customWidth="1"/>
    <col min="2525" max="2525" width="16.42578125" customWidth="1"/>
    <col min="2526" max="2528" width="15.7109375" bestFit="1" customWidth="1"/>
    <col min="2529" max="2529" width="16.7109375" bestFit="1" customWidth="1"/>
    <col min="2530" max="2532" width="15.7109375" bestFit="1" customWidth="1"/>
    <col min="2533" max="2533" width="16.7109375" bestFit="1" customWidth="1"/>
    <col min="2534" max="2536" width="15.7109375" bestFit="1" customWidth="1"/>
    <col min="2537" max="2537" width="16.7109375" bestFit="1" customWidth="1"/>
    <col min="2538" max="2538" width="15.7109375" bestFit="1" customWidth="1"/>
    <col min="2539" max="2540" width="16.42578125" bestFit="1" customWidth="1"/>
    <col min="2541" max="2541" width="16.7109375" bestFit="1" customWidth="1"/>
    <col min="2542" max="2544" width="16.42578125" bestFit="1" customWidth="1"/>
    <col min="2545" max="2545" width="16.7109375" bestFit="1" customWidth="1"/>
    <col min="2546" max="2584" width="16.42578125" bestFit="1" customWidth="1"/>
    <col min="2779" max="2779" width="26" customWidth="1"/>
    <col min="2780" max="2780" width="17.85546875" customWidth="1"/>
    <col min="2781" max="2781" width="16.42578125" customWidth="1"/>
    <col min="2782" max="2784" width="15.7109375" bestFit="1" customWidth="1"/>
    <col min="2785" max="2785" width="16.7109375" bestFit="1" customWidth="1"/>
    <col min="2786" max="2788" width="15.7109375" bestFit="1" customWidth="1"/>
    <col min="2789" max="2789" width="16.7109375" bestFit="1" customWidth="1"/>
    <col min="2790" max="2792" width="15.7109375" bestFit="1" customWidth="1"/>
    <col min="2793" max="2793" width="16.7109375" bestFit="1" customWidth="1"/>
    <col min="2794" max="2794" width="15.7109375" bestFit="1" customWidth="1"/>
    <col min="2795" max="2796" width="16.42578125" bestFit="1" customWidth="1"/>
    <col min="2797" max="2797" width="16.7109375" bestFit="1" customWidth="1"/>
    <col min="2798" max="2800" width="16.42578125" bestFit="1" customWidth="1"/>
    <col min="2801" max="2801" width="16.7109375" bestFit="1" customWidth="1"/>
    <col min="2802" max="2840" width="16.42578125" bestFit="1" customWidth="1"/>
    <col min="3035" max="3035" width="26" customWidth="1"/>
    <col min="3036" max="3036" width="17.85546875" customWidth="1"/>
    <col min="3037" max="3037" width="16.42578125" customWidth="1"/>
    <col min="3038" max="3040" width="15.7109375" bestFit="1" customWidth="1"/>
    <col min="3041" max="3041" width="16.7109375" bestFit="1" customWidth="1"/>
    <col min="3042" max="3044" width="15.7109375" bestFit="1" customWidth="1"/>
    <col min="3045" max="3045" width="16.7109375" bestFit="1" customWidth="1"/>
    <col min="3046" max="3048" width="15.7109375" bestFit="1" customWidth="1"/>
    <col min="3049" max="3049" width="16.7109375" bestFit="1" customWidth="1"/>
    <col min="3050" max="3050" width="15.7109375" bestFit="1" customWidth="1"/>
    <col min="3051" max="3052" width="16.42578125" bestFit="1" customWidth="1"/>
    <col min="3053" max="3053" width="16.7109375" bestFit="1" customWidth="1"/>
    <col min="3054" max="3056" width="16.42578125" bestFit="1" customWidth="1"/>
    <col min="3057" max="3057" width="16.7109375" bestFit="1" customWidth="1"/>
    <col min="3058" max="3096" width="16.42578125" bestFit="1" customWidth="1"/>
    <col min="3291" max="3291" width="26" customWidth="1"/>
    <col min="3292" max="3292" width="17.85546875" customWidth="1"/>
    <col min="3293" max="3293" width="16.42578125" customWidth="1"/>
    <col min="3294" max="3296" width="15.7109375" bestFit="1" customWidth="1"/>
    <col min="3297" max="3297" width="16.7109375" bestFit="1" customWidth="1"/>
    <col min="3298" max="3300" width="15.7109375" bestFit="1" customWidth="1"/>
    <col min="3301" max="3301" width="16.7109375" bestFit="1" customWidth="1"/>
    <col min="3302" max="3304" width="15.7109375" bestFit="1" customWidth="1"/>
    <col min="3305" max="3305" width="16.7109375" bestFit="1" customWidth="1"/>
    <col min="3306" max="3306" width="15.7109375" bestFit="1" customWidth="1"/>
    <col min="3307" max="3308" width="16.42578125" bestFit="1" customWidth="1"/>
    <col min="3309" max="3309" width="16.7109375" bestFit="1" customWidth="1"/>
    <col min="3310" max="3312" width="16.42578125" bestFit="1" customWidth="1"/>
    <col min="3313" max="3313" width="16.7109375" bestFit="1" customWidth="1"/>
    <col min="3314" max="3352" width="16.42578125" bestFit="1" customWidth="1"/>
    <col min="3547" max="3547" width="26" customWidth="1"/>
    <col min="3548" max="3548" width="17.85546875" customWidth="1"/>
    <col min="3549" max="3549" width="16.42578125" customWidth="1"/>
    <col min="3550" max="3552" width="15.7109375" bestFit="1" customWidth="1"/>
    <col min="3553" max="3553" width="16.7109375" bestFit="1" customWidth="1"/>
    <col min="3554" max="3556" width="15.7109375" bestFit="1" customWidth="1"/>
    <col min="3557" max="3557" width="16.7109375" bestFit="1" customWidth="1"/>
    <col min="3558" max="3560" width="15.7109375" bestFit="1" customWidth="1"/>
    <col min="3561" max="3561" width="16.7109375" bestFit="1" customWidth="1"/>
    <col min="3562" max="3562" width="15.7109375" bestFit="1" customWidth="1"/>
    <col min="3563" max="3564" width="16.42578125" bestFit="1" customWidth="1"/>
    <col min="3565" max="3565" width="16.7109375" bestFit="1" customWidth="1"/>
    <col min="3566" max="3568" width="16.42578125" bestFit="1" customWidth="1"/>
    <col min="3569" max="3569" width="16.7109375" bestFit="1" customWidth="1"/>
    <col min="3570" max="3608" width="16.42578125" bestFit="1" customWidth="1"/>
    <col min="3803" max="3803" width="26" customWidth="1"/>
    <col min="3804" max="3804" width="17.85546875" customWidth="1"/>
    <col min="3805" max="3805" width="16.42578125" customWidth="1"/>
    <col min="3806" max="3808" width="15.7109375" bestFit="1" customWidth="1"/>
    <col min="3809" max="3809" width="16.7109375" bestFit="1" customWidth="1"/>
    <col min="3810" max="3812" width="15.7109375" bestFit="1" customWidth="1"/>
    <col min="3813" max="3813" width="16.7109375" bestFit="1" customWidth="1"/>
    <col min="3814" max="3816" width="15.7109375" bestFit="1" customWidth="1"/>
    <col min="3817" max="3817" width="16.7109375" bestFit="1" customWidth="1"/>
    <col min="3818" max="3818" width="15.7109375" bestFit="1" customWidth="1"/>
    <col min="3819" max="3820" width="16.42578125" bestFit="1" customWidth="1"/>
    <col min="3821" max="3821" width="16.7109375" bestFit="1" customWidth="1"/>
    <col min="3822" max="3824" width="16.42578125" bestFit="1" customWidth="1"/>
    <col min="3825" max="3825" width="16.7109375" bestFit="1" customWidth="1"/>
    <col min="3826" max="3864" width="16.42578125" bestFit="1" customWidth="1"/>
    <col min="4059" max="4059" width="26" customWidth="1"/>
    <col min="4060" max="4060" width="17.85546875" customWidth="1"/>
    <col min="4061" max="4061" width="16.42578125" customWidth="1"/>
    <col min="4062" max="4064" width="15.7109375" bestFit="1" customWidth="1"/>
    <col min="4065" max="4065" width="16.7109375" bestFit="1" customWidth="1"/>
    <col min="4066" max="4068" width="15.7109375" bestFit="1" customWidth="1"/>
    <col min="4069" max="4069" width="16.7109375" bestFit="1" customWidth="1"/>
    <col min="4070" max="4072" width="15.7109375" bestFit="1" customWidth="1"/>
    <col min="4073" max="4073" width="16.7109375" bestFit="1" customWidth="1"/>
    <col min="4074" max="4074" width="15.7109375" bestFit="1" customWidth="1"/>
    <col min="4075" max="4076" width="16.42578125" bestFit="1" customWidth="1"/>
    <col min="4077" max="4077" width="16.7109375" bestFit="1" customWidth="1"/>
    <col min="4078" max="4080" width="16.42578125" bestFit="1" customWidth="1"/>
    <col min="4081" max="4081" width="16.7109375" bestFit="1" customWidth="1"/>
    <col min="4082" max="4120" width="16.42578125" bestFit="1" customWidth="1"/>
    <col min="4315" max="4315" width="26" customWidth="1"/>
    <col min="4316" max="4316" width="17.85546875" customWidth="1"/>
    <col min="4317" max="4317" width="16.42578125" customWidth="1"/>
    <col min="4318" max="4320" width="15.7109375" bestFit="1" customWidth="1"/>
    <col min="4321" max="4321" width="16.7109375" bestFit="1" customWidth="1"/>
    <col min="4322" max="4324" width="15.7109375" bestFit="1" customWidth="1"/>
    <col min="4325" max="4325" width="16.7109375" bestFit="1" customWidth="1"/>
    <col min="4326" max="4328" width="15.7109375" bestFit="1" customWidth="1"/>
    <col min="4329" max="4329" width="16.7109375" bestFit="1" customWidth="1"/>
    <col min="4330" max="4330" width="15.7109375" bestFit="1" customWidth="1"/>
    <col min="4331" max="4332" width="16.42578125" bestFit="1" customWidth="1"/>
    <col min="4333" max="4333" width="16.7109375" bestFit="1" customWidth="1"/>
    <col min="4334" max="4336" width="16.42578125" bestFit="1" customWidth="1"/>
    <col min="4337" max="4337" width="16.7109375" bestFit="1" customWidth="1"/>
    <col min="4338" max="4376" width="16.42578125" bestFit="1" customWidth="1"/>
    <col min="4571" max="4571" width="26" customWidth="1"/>
    <col min="4572" max="4572" width="17.85546875" customWidth="1"/>
    <col min="4573" max="4573" width="16.42578125" customWidth="1"/>
    <col min="4574" max="4576" width="15.7109375" bestFit="1" customWidth="1"/>
    <col min="4577" max="4577" width="16.7109375" bestFit="1" customWidth="1"/>
    <col min="4578" max="4580" width="15.7109375" bestFit="1" customWidth="1"/>
    <col min="4581" max="4581" width="16.7109375" bestFit="1" customWidth="1"/>
    <col min="4582" max="4584" width="15.7109375" bestFit="1" customWidth="1"/>
    <col min="4585" max="4585" width="16.7109375" bestFit="1" customWidth="1"/>
    <col min="4586" max="4586" width="15.7109375" bestFit="1" customWidth="1"/>
    <col min="4587" max="4588" width="16.42578125" bestFit="1" customWidth="1"/>
    <col min="4589" max="4589" width="16.7109375" bestFit="1" customWidth="1"/>
    <col min="4590" max="4592" width="16.42578125" bestFit="1" customWidth="1"/>
    <col min="4593" max="4593" width="16.7109375" bestFit="1" customWidth="1"/>
    <col min="4594" max="4632" width="16.42578125" bestFit="1" customWidth="1"/>
    <col min="4827" max="4827" width="26" customWidth="1"/>
    <col min="4828" max="4828" width="17.85546875" customWidth="1"/>
    <col min="4829" max="4829" width="16.42578125" customWidth="1"/>
    <col min="4830" max="4832" width="15.7109375" bestFit="1" customWidth="1"/>
    <col min="4833" max="4833" width="16.7109375" bestFit="1" customWidth="1"/>
    <col min="4834" max="4836" width="15.7109375" bestFit="1" customWidth="1"/>
    <col min="4837" max="4837" width="16.7109375" bestFit="1" customWidth="1"/>
    <col min="4838" max="4840" width="15.7109375" bestFit="1" customWidth="1"/>
    <col min="4841" max="4841" width="16.7109375" bestFit="1" customWidth="1"/>
    <col min="4842" max="4842" width="15.7109375" bestFit="1" customWidth="1"/>
    <col min="4843" max="4844" width="16.42578125" bestFit="1" customWidth="1"/>
    <col min="4845" max="4845" width="16.7109375" bestFit="1" customWidth="1"/>
    <col min="4846" max="4848" width="16.42578125" bestFit="1" customWidth="1"/>
    <col min="4849" max="4849" width="16.7109375" bestFit="1" customWidth="1"/>
    <col min="4850" max="4888" width="16.42578125" bestFit="1" customWidth="1"/>
    <col min="5083" max="5083" width="26" customWidth="1"/>
    <col min="5084" max="5084" width="17.85546875" customWidth="1"/>
    <col min="5085" max="5085" width="16.42578125" customWidth="1"/>
    <col min="5086" max="5088" width="15.7109375" bestFit="1" customWidth="1"/>
    <col min="5089" max="5089" width="16.7109375" bestFit="1" customWidth="1"/>
    <col min="5090" max="5092" width="15.7109375" bestFit="1" customWidth="1"/>
    <col min="5093" max="5093" width="16.7109375" bestFit="1" customWidth="1"/>
    <col min="5094" max="5096" width="15.7109375" bestFit="1" customWidth="1"/>
    <col min="5097" max="5097" width="16.7109375" bestFit="1" customWidth="1"/>
    <col min="5098" max="5098" width="15.7109375" bestFit="1" customWidth="1"/>
    <col min="5099" max="5100" width="16.42578125" bestFit="1" customWidth="1"/>
    <col min="5101" max="5101" width="16.7109375" bestFit="1" customWidth="1"/>
    <col min="5102" max="5104" width="16.42578125" bestFit="1" customWidth="1"/>
    <col min="5105" max="5105" width="16.7109375" bestFit="1" customWidth="1"/>
    <col min="5106" max="5144" width="16.42578125" bestFit="1" customWidth="1"/>
    <col min="5339" max="5339" width="26" customWidth="1"/>
    <col min="5340" max="5340" width="17.85546875" customWidth="1"/>
    <col min="5341" max="5341" width="16.42578125" customWidth="1"/>
    <col min="5342" max="5344" width="15.7109375" bestFit="1" customWidth="1"/>
    <col min="5345" max="5345" width="16.7109375" bestFit="1" customWidth="1"/>
    <col min="5346" max="5348" width="15.7109375" bestFit="1" customWidth="1"/>
    <col min="5349" max="5349" width="16.7109375" bestFit="1" customWidth="1"/>
    <col min="5350" max="5352" width="15.7109375" bestFit="1" customWidth="1"/>
    <col min="5353" max="5353" width="16.7109375" bestFit="1" customWidth="1"/>
    <col min="5354" max="5354" width="15.7109375" bestFit="1" customWidth="1"/>
    <col min="5355" max="5356" width="16.42578125" bestFit="1" customWidth="1"/>
    <col min="5357" max="5357" width="16.7109375" bestFit="1" customWidth="1"/>
    <col min="5358" max="5360" width="16.42578125" bestFit="1" customWidth="1"/>
    <col min="5361" max="5361" width="16.7109375" bestFit="1" customWidth="1"/>
    <col min="5362" max="5400" width="16.42578125" bestFit="1" customWidth="1"/>
    <col min="5595" max="5595" width="26" customWidth="1"/>
    <col min="5596" max="5596" width="17.85546875" customWidth="1"/>
    <col min="5597" max="5597" width="16.42578125" customWidth="1"/>
    <col min="5598" max="5600" width="15.7109375" bestFit="1" customWidth="1"/>
    <col min="5601" max="5601" width="16.7109375" bestFit="1" customWidth="1"/>
    <col min="5602" max="5604" width="15.7109375" bestFit="1" customWidth="1"/>
    <col min="5605" max="5605" width="16.7109375" bestFit="1" customWidth="1"/>
    <col min="5606" max="5608" width="15.7109375" bestFit="1" customWidth="1"/>
    <col min="5609" max="5609" width="16.7109375" bestFit="1" customWidth="1"/>
    <col min="5610" max="5610" width="15.7109375" bestFit="1" customWidth="1"/>
    <col min="5611" max="5612" width="16.42578125" bestFit="1" customWidth="1"/>
    <col min="5613" max="5613" width="16.7109375" bestFit="1" customWidth="1"/>
    <col min="5614" max="5616" width="16.42578125" bestFit="1" customWidth="1"/>
    <col min="5617" max="5617" width="16.7109375" bestFit="1" customWidth="1"/>
    <col min="5618" max="5656" width="16.42578125" bestFit="1" customWidth="1"/>
    <col min="5851" max="5851" width="26" customWidth="1"/>
    <col min="5852" max="5852" width="17.85546875" customWidth="1"/>
    <col min="5853" max="5853" width="16.42578125" customWidth="1"/>
    <col min="5854" max="5856" width="15.7109375" bestFit="1" customWidth="1"/>
    <col min="5857" max="5857" width="16.7109375" bestFit="1" customWidth="1"/>
    <col min="5858" max="5860" width="15.7109375" bestFit="1" customWidth="1"/>
    <col min="5861" max="5861" width="16.7109375" bestFit="1" customWidth="1"/>
    <col min="5862" max="5864" width="15.7109375" bestFit="1" customWidth="1"/>
    <col min="5865" max="5865" width="16.7109375" bestFit="1" customWidth="1"/>
    <col min="5866" max="5866" width="15.7109375" bestFit="1" customWidth="1"/>
    <col min="5867" max="5868" width="16.42578125" bestFit="1" customWidth="1"/>
    <col min="5869" max="5869" width="16.7109375" bestFit="1" customWidth="1"/>
    <col min="5870" max="5872" width="16.42578125" bestFit="1" customWidth="1"/>
    <col min="5873" max="5873" width="16.7109375" bestFit="1" customWidth="1"/>
    <col min="5874" max="5912" width="16.42578125" bestFit="1" customWidth="1"/>
    <col min="6107" max="6107" width="26" customWidth="1"/>
    <col min="6108" max="6108" width="17.85546875" customWidth="1"/>
    <col min="6109" max="6109" width="16.42578125" customWidth="1"/>
    <col min="6110" max="6112" width="15.7109375" bestFit="1" customWidth="1"/>
    <col min="6113" max="6113" width="16.7109375" bestFit="1" customWidth="1"/>
    <col min="6114" max="6116" width="15.7109375" bestFit="1" customWidth="1"/>
    <col min="6117" max="6117" width="16.7109375" bestFit="1" customWidth="1"/>
    <col min="6118" max="6120" width="15.7109375" bestFit="1" customWidth="1"/>
    <col min="6121" max="6121" width="16.7109375" bestFit="1" customWidth="1"/>
    <col min="6122" max="6122" width="15.7109375" bestFit="1" customWidth="1"/>
    <col min="6123" max="6124" width="16.42578125" bestFit="1" customWidth="1"/>
    <col min="6125" max="6125" width="16.7109375" bestFit="1" customWidth="1"/>
    <col min="6126" max="6128" width="16.42578125" bestFit="1" customWidth="1"/>
    <col min="6129" max="6129" width="16.7109375" bestFit="1" customWidth="1"/>
    <col min="6130" max="6168" width="16.42578125" bestFit="1" customWidth="1"/>
    <col min="6363" max="6363" width="26" customWidth="1"/>
    <col min="6364" max="6364" width="17.85546875" customWidth="1"/>
    <col min="6365" max="6365" width="16.42578125" customWidth="1"/>
    <col min="6366" max="6368" width="15.7109375" bestFit="1" customWidth="1"/>
    <col min="6369" max="6369" width="16.7109375" bestFit="1" customWidth="1"/>
    <col min="6370" max="6372" width="15.7109375" bestFit="1" customWidth="1"/>
    <col min="6373" max="6373" width="16.7109375" bestFit="1" customWidth="1"/>
    <col min="6374" max="6376" width="15.7109375" bestFit="1" customWidth="1"/>
    <col min="6377" max="6377" width="16.7109375" bestFit="1" customWidth="1"/>
    <col min="6378" max="6378" width="15.7109375" bestFit="1" customWidth="1"/>
    <col min="6379" max="6380" width="16.42578125" bestFit="1" customWidth="1"/>
    <col min="6381" max="6381" width="16.7109375" bestFit="1" customWidth="1"/>
    <col min="6382" max="6384" width="16.42578125" bestFit="1" customWidth="1"/>
    <col min="6385" max="6385" width="16.7109375" bestFit="1" customWidth="1"/>
    <col min="6386" max="6424" width="16.42578125" bestFit="1" customWidth="1"/>
    <col min="6619" max="6619" width="26" customWidth="1"/>
    <col min="6620" max="6620" width="17.85546875" customWidth="1"/>
    <col min="6621" max="6621" width="16.42578125" customWidth="1"/>
    <col min="6622" max="6624" width="15.7109375" bestFit="1" customWidth="1"/>
    <col min="6625" max="6625" width="16.7109375" bestFit="1" customWidth="1"/>
    <col min="6626" max="6628" width="15.7109375" bestFit="1" customWidth="1"/>
    <col min="6629" max="6629" width="16.7109375" bestFit="1" customWidth="1"/>
    <col min="6630" max="6632" width="15.7109375" bestFit="1" customWidth="1"/>
    <col min="6633" max="6633" width="16.7109375" bestFit="1" customWidth="1"/>
    <col min="6634" max="6634" width="15.7109375" bestFit="1" customWidth="1"/>
    <col min="6635" max="6636" width="16.42578125" bestFit="1" customWidth="1"/>
    <col min="6637" max="6637" width="16.7109375" bestFit="1" customWidth="1"/>
    <col min="6638" max="6640" width="16.42578125" bestFit="1" customWidth="1"/>
    <col min="6641" max="6641" width="16.7109375" bestFit="1" customWidth="1"/>
    <col min="6642" max="6680" width="16.42578125" bestFit="1" customWidth="1"/>
    <col min="6875" max="6875" width="26" customWidth="1"/>
    <col min="6876" max="6876" width="17.85546875" customWidth="1"/>
    <col min="6877" max="6877" width="16.42578125" customWidth="1"/>
    <col min="6878" max="6880" width="15.7109375" bestFit="1" customWidth="1"/>
    <col min="6881" max="6881" width="16.7109375" bestFit="1" customWidth="1"/>
    <col min="6882" max="6884" width="15.7109375" bestFit="1" customWidth="1"/>
    <col min="6885" max="6885" width="16.7109375" bestFit="1" customWidth="1"/>
    <col min="6886" max="6888" width="15.7109375" bestFit="1" customWidth="1"/>
    <col min="6889" max="6889" width="16.7109375" bestFit="1" customWidth="1"/>
    <col min="6890" max="6890" width="15.7109375" bestFit="1" customWidth="1"/>
    <col min="6891" max="6892" width="16.42578125" bestFit="1" customWidth="1"/>
    <col min="6893" max="6893" width="16.7109375" bestFit="1" customWidth="1"/>
    <col min="6894" max="6896" width="16.42578125" bestFit="1" customWidth="1"/>
    <col min="6897" max="6897" width="16.7109375" bestFit="1" customWidth="1"/>
    <col min="6898" max="6936" width="16.42578125" bestFit="1" customWidth="1"/>
    <col min="7131" max="7131" width="26" customWidth="1"/>
    <col min="7132" max="7132" width="17.85546875" customWidth="1"/>
    <col min="7133" max="7133" width="16.42578125" customWidth="1"/>
    <col min="7134" max="7136" width="15.7109375" bestFit="1" customWidth="1"/>
    <col min="7137" max="7137" width="16.7109375" bestFit="1" customWidth="1"/>
    <col min="7138" max="7140" width="15.7109375" bestFit="1" customWidth="1"/>
    <col min="7141" max="7141" width="16.7109375" bestFit="1" customWidth="1"/>
    <col min="7142" max="7144" width="15.7109375" bestFit="1" customWidth="1"/>
    <col min="7145" max="7145" width="16.7109375" bestFit="1" customWidth="1"/>
    <col min="7146" max="7146" width="15.7109375" bestFit="1" customWidth="1"/>
    <col min="7147" max="7148" width="16.42578125" bestFit="1" customWidth="1"/>
    <col min="7149" max="7149" width="16.7109375" bestFit="1" customWidth="1"/>
    <col min="7150" max="7152" width="16.42578125" bestFit="1" customWidth="1"/>
    <col min="7153" max="7153" width="16.7109375" bestFit="1" customWidth="1"/>
    <col min="7154" max="7192" width="16.42578125" bestFit="1" customWidth="1"/>
    <col min="7387" max="7387" width="26" customWidth="1"/>
    <col min="7388" max="7388" width="17.85546875" customWidth="1"/>
    <col min="7389" max="7389" width="16.42578125" customWidth="1"/>
    <col min="7390" max="7392" width="15.7109375" bestFit="1" customWidth="1"/>
    <col min="7393" max="7393" width="16.7109375" bestFit="1" customWidth="1"/>
    <col min="7394" max="7396" width="15.7109375" bestFit="1" customWidth="1"/>
    <col min="7397" max="7397" width="16.7109375" bestFit="1" customWidth="1"/>
    <col min="7398" max="7400" width="15.7109375" bestFit="1" customWidth="1"/>
    <col min="7401" max="7401" width="16.7109375" bestFit="1" customWidth="1"/>
    <col min="7402" max="7402" width="15.7109375" bestFit="1" customWidth="1"/>
    <col min="7403" max="7404" width="16.42578125" bestFit="1" customWidth="1"/>
    <col min="7405" max="7405" width="16.7109375" bestFit="1" customWidth="1"/>
    <col min="7406" max="7408" width="16.42578125" bestFit="1" customWidth="1"/>
    <col min="7409" max="7409" width="16.7109375" bestFit="1" customWidth="1"/>
    <col min="7410" max="7448" width="16.42578125" bestFit="1" customWidth="1"/>
    <col min="7643" max="7643" width="26" customWidth="1"/>
    <col min="7644" max="7644" width="17.85546875" customWidth="1"/>
    <col min="7645" max="7645" width="16.42578125" customWidth="1"/>
    <col min="7646" max="7648" width="15.7109375" bestFit="1" customWidth="1"/>
    <col min="7649" max="7649" width="16.7109375" bestFit="1" customWidth="1"/>
    <col min="7650" max="7652" width="15.7109375" bestFit="1" customWidth="1"/>
    <col min="7653" max="7653" width="16.7109375" bestFit="1" customWidth="1"/>
    <col min="7654" max="7656" width="15.7109375" bestFit="1" customWidth="1"/>
    <col min="7657" max="7657" width="16.7109375" bestFit="1" customWidth="1"/>
    <col min="7658" max="7658" width="15.7109375" bestFit="1" customWidth="1"/>
    <col min="7659" max="7660" width="16.42578125" bestFit="1" customWidth="1"/>
    <col min="7661" max="7661" width="16.7109375" bestFit="1" customWidth="1"/>
    <col min="7662" max="7664" width="16.42578125" bestFit="1" customWidth="1"/>
    <col min="7665" max="7665" width="16.7109375" bestFit="1" customWidth="1"/>
    <col min="7666" max="7704" width="16.42578125" bestFit="1" customWidth="1"/>
    <col min="7899" max="7899" width="26" customWidth="1"/>
    <col min="7900" max="7900" width="17.85546875" customWidth="1"/>
    <col min="7901" max="7901" width="16.42578125" customWidth="1"/>
    <col min="7902" max="7904" width="15.7109375" bestFit="1" customWidth="1"/>
    <col min="7905" max="7905" width="16.7109375" bestFit="1" customWidth="1"/>
    <col min="7906" max="7908" width="15.7109375" bestFit="1" customWidth="1"/>
    <col min="7909" max="7909" width="16.7109375" bestFit="1" customWidth="1"/>
    <col min="7910" max="7912" width="15.7109375" bestFit="1" customWidth="1"/>
    <col min="7913" max="7913" width="16.7109375" bestFit="1" customWidth="1"/>
    <col min="7914" max="7914" width="15.7109375" bestFit="1" customWidth="1"/>
    <col min="7915" max="7916" width="16.42578125" bestFit="1" customWidth="1"/>
    <col min="7917" max="7917" width="16.7109375" bestFit="1" customWidth="1"/>
    <col min="7918" max="7920" width="16.42578125" bestFit="1" customWidth="1"/>
    <col min="7921" max="7921" width="16.7109375" bestFit="1" customWidth="1"/>
    <col min="7922" max="7960" width="16.42578125" bestFit="1" customWidth="1"/>
    <col min="8155" max="8155" width="26" customWidth="1"/>
    <col min="8156" max="8156" width="17.85546875" customWidth="1"/>
    <col min="8157" max="8157" width="16.42578125" customWidth="1"/>
    <col min="8158" max="8160" width="15.7109375" bestFit="1" customWidth="1"/>
    <col min="8161" max="8161" width="16.7109375" bestFit="1" customWidth="1"/>
    <col min="8162" max="8164" width="15.7109375" bestFit="1" customWidth="1"/>
    <col min="8165" max="8165" width="16.7109375" bestFit="1" customWidth="1"/>
    <col min="8166" max="8168" width="15.7109375" bestFit="1" customWidth="1"/>
    <col min="8169" max="8169" width="16.7109375" bestFit="1" customWidth="1"/>
    <col min="8170" max="8170" width="15.7109375" bestFit="1" customWidth="1"/>
    <col min="8171" max="8172" width="16.42578125" bestFit="1" customWidth="1"/>
    <col min="8173" max="8173" width="16.7109375" bestFit="1" customWidth="1"/>
    <col min="8174" max="8176" width="16.42578125" bestFit="1" customWidth="1"/>
    <col min="8177" max="8177" width="16.7109375" bestFit="1" customWidth="1"/>
    <col min="8178" max="8216" width="16.42578125" bestFit="1" customWidth="1"/>
    <col min="8411" max="8411" width="26" customWidth="1"/>
    <col min="8412" max="8412" width="17.85546875" customWidth="1"/>
    <col min="8413" max="8413" width="16.42578125" customWidth="1"/>
    <col min="8414" max="8416" width="15.7109375" bestFit="1" customWidth="1"/>
    <col min="8417" max="8417" width="16.7109375" bestFit="1" customWidth="1"/>
    <col min="8418" max="8420" width="15.7109375" bestFit="1" customWidth="1"/>
    <col min="8421" max="8421" width="16.7109375" bestFit="1" customWidth="1"/>
    <col min="8422" max="8424" width="15.7109375" bestFit="1" customWidth="1"/>
    <col min="8425" max="8425" width="16.7109375" bestFit="1" customWidth="1"/>
    <col min="8426" max="8426" width="15.7109375" bestFit="1" customWidth="1"/>
    <col min="8427" max="8428" width="16.42578125" bestFit="1" customWidth="1"/>
    <col min="8429" max="8429" width="16.7109375" bestFit="1" customWidth="1"/>
    <col min="8430" max="8432" width="16.42578125" bestFit="1" customWidth="1"/>
    <col min="8433" max="8433" width="16.7109375" bestFit="1" customWidth="1"/>
    <col min="8434" max="8472" width="16.42578125" bestFit="1" customWidth="1"/>
    <col min="8667" max="8667" width="26" customWidth="1"/>
    <col min="8668" max="8668" width="17.85546875" customWidth="1"/>
    <col min="8669" max="8669" width="16.42578125" customWidth="1"/>
    <col min="8670" max="8672" width="15.7109375" bestFit="1" customWidth="1"/>
    <col min="8673" max="8673" width="16.7109375" bestFit="1" customWidth="1"/>
    <col min="8674" max="8676" width="15.7109375" bestFit="1" customWidth="1"/>
    <col min="8677" max="8677" width="16.7109375" bestFit="1" customWidth="1"/>
    <col min="8678" max="8680" width="15.7109375" bestFit="1" customWidth="1"/>
    <col min="8681" max="8681" width="16.7109375" bestFit="1" customWidth="1"/>
    <col min="8682" max="8682" width="15.7109375" bestFit="1" customWidth="1"/>
    <col min="8683" max="8684" width="16.42578125" bestFit="1" customWidth="1"/>
    <col min="8685" max="8685" width="16.7109375" bestFit="1" customWidth="1"/>
    <col min="8686" max="8688" width="16.42578125" bestFit="1" customWidth="1"/>
    <col min="8689" max="8689" width="16.7109375" bestFit="1" customWidth="1"/>
    <col min="8690" max="8728" width="16.42578125" bestFit="1" customWidth="1"/>
    <col min="8923" max="8923" width="26" customWidth="1"/>
    <col min="8924" max="8924" width="17.85546875" customWidth="1"/>
    <col min="8925" max="8925" width="16.42578125" customWidth="1"/>
    <col min="8926" max="8928" width="15.7109375" bestFit="1" customWidth="1"/>
    <col min="8929" max="8929" width="16.7109375" bestFit="1" customWidth="1"/>
    <col min="8930" max="8932" width="15.7109375" bestFit="1" customWidth="1"/>
    <col min="8933" max="8933" width="16.7109375" bestFit="1" customWidth="1"/>
    <col min="8934" max="8936" width="15.7109375" bestFit="1" customWidth="1"/>
    <col min="8937" max="8937" width="16.7109375" bestFit="1" customWidth="1"/>
    <col min="8938" max="8938" width="15.7109375" bestFit="1" customWidth="1"/>
    <col min="8939" max="8940" width="16.42578125" bestFit="1" customWidth="1"/>
    <col min="8941" max="8941" width="16.7109375" bestFit="1" customWidth="1"/>
    <col min="8942" max="8944" width="16.42578125" bestFit="1" customWidth="1"/>
    <col min="8945" max="8945" width="16.7109375" bestFit="1" customWidth="1"/>
    <col min="8946" max="8984" width="16.42578125" bestFit="1" customWidth="1"/>
    <col min="9179" max="9179" width="26" customWidth="1"/>
    <col min="9180" max="9180" width="17.85546875" customWidth="1"/>
    <col min="9181" max="9181" width="16.42578125" customWidth="1"/>
    <col min="9182" max="9184" width="15.7109375" bestFit="1" customWidth="1"/>
    <col min="9185" max="9185" width="16.7109375" bestFit="1" customWidth="1"/>
    <col min="9186" max="9188" width="15.7109375" bestFit="1" customWidth="1"/>
    <col min="9189" max="9189" width="16.7109375" bestFit="1" customWidth="1"/>
    <col min="9190" max="9192" width="15.7109375" bestFit="1" customWidth="1"/>
    <col min="9193" max="9193" width="16.7109375" bestFit="1" customWidth="1"/>
    <col min="9194" max="9194" width="15.7109375" bestFit="1" customWidth="1"/>
    <col min="9195" max="9196" width="16.42578125" bestFit="1" customWidth="1"/>
    <col min="9197" max="9197" width="16.7109375" bestFit="1" customWidth="1"/>
    <col min="9198" max="9200" width="16.42578125" bestFit="1" customWidth="1"/>
    <col min="9201" max="9201" width="16.7109375" bestFit="1" customWidth="1"/>
    <col min="9202" max="9240" width="16.42578125" bestFit="1" customWidth="1"/>
    <col min="9435" max="9435" width="26" customWidth="1"/>
    <col min="9436" max="9436" width="17.85546875" customWidth="1"/>
    <col min="9437" max="9437" width="16.42578125" customWidth="1"/>
    <col min="9438" max="9440" width="15.7109375" bestFit="1" customWidth="1"/>
    <col min="9441" max="9441" width="16.7109375" bestFit="1" customWidth="1"/>
    <col min="9442" max="9444" width="15.7109375" bestFit="1" customWidth="1"/>
    <col min="9445" max="9445" width="16.7109375" bestFit="1" customWidth="1"/>
    <col min="9446" max="9448" width="15.7109375" bestFit="1" customWidth="1"/>
    <col min="9449" max="9449" width="16.7109375" bestFit="1" customWidth="1"/>
    <col min="9450" max="9450" width="15.7109375" bestFit="1" customWidth="1"/>
    <col min="9451" max="9452" width="16.42578125" bestFit="1" customWidth="1"/>
    <col min="9453" max="9453" width="16.7109375" bestFit="1" customWidth="1"/>
    <col min="9454" max="9456" width="16.42578125" bestFit="1" customWidth="1"/>
    <col min="9457" max="9457" width="16.7109375" bestFit="1" customWidth="1"/>
    <col min="9458" max="9496" width="16.42578125" bestFit="1" customWidth="1"/>
    <col min="9691" max="9691" width="26" customWidth="1"/>
    <col min="9692" max="9692" width="17.85546875" customWidth="1"/>
    <col min="9693" max="9693" width="16.42578125" customWidth="1"/>
    <col min="9694" max="9696" width="15.7109375" bestFit="1" customWidth="1"/>
    <col min="9697" max="9697" width="16.7109375" bestFit="1" customWidth="1"/>
    <col min="9698" max="9700" width="15.7109375" bestFit="1" customWidth="1"/>
    <col min="9701" max="9701" width="16.7109375" bestFit="1" customWidth="1"/>
    <col min="9702" max="9704" width="15.7109375" bestFit="1" customWidth="1"/>
    <col min="9705" max="9705" width="16.7109375" bestFit="1" customWidth="1"/>
    <col min="9706" max="9706" width="15.7109375" bestFit="1" customWidth="1"/>
    <col min="9707" max="9708" width="16.42578125" bestFit="1" customWidth="1"/>
    <col min="9709" max="9709" width="16.7109375" bestFit="1" customWidth="1"/>
    <col min="9710" max="9712" width="16.42578125" bestFit="1" customWidth="1"/>
    <col min="9713" max="9713" width="16.7109375" bestFit="1" customWidth="1"/>
    <col min="9714" max="9752" width="16.42578125" bestFit="1" customWidth="1"/>
    <col min="9947" max="9947" width="26" customWidth="1"/>
    <col min="9948" max="9948" width="17.85546875" customWidth="1"/>
    <col min="9949" max="9949" width="16.42578125" customWidth="1"/>
    <col min="9950" max="9952" width="15.7109375" bestFit="1" customWidth="1"/>
    <col min="9953" max="9953" width="16.7109375" bestFit="1" customWidth="1"/>
    <col min="9954" max="9956" width="15.7109375" bestFit="1" customWidth="1"/>
    <col min="9957" max="9957" width="16.7109375" bestFit="1" customWidth="1"/>
    <col min="9958" max="9960" width="15.7109375" bestFit="1" customWidth="1"/>
    <col min="9961" max="9961" width="16.7109375" bestFit="1" customWidth="1"/>
    <col min="9962" max="9962" width="15.7109375" bestFit="1" customWidth="1"/>
    <col min="9963" max="9964" width="16.42578125" bestFit="1" customWidth="1"/>
    <col min="9965" max="9965" width="16.7109375" bestFit="1" customWidth="1"/>
    <col min="9966" max="9968" width="16.42578125" bestFit="1" customWidth="1"/>
    <col min="9969" max="9969" width="16.7109375" bestFit="1" customWidth="1"/>
    <col min="9970" max="10008" width="16.42578125" bestFit="1" customWidth="1"/>
    <col min="10203" max="10203" width="26" customWidth="1"/>
    <col min="10204" max="10204" width="17.85546875" customWidth="1"/>
    <col min="10205" max="10205" width="16.42578125" customWidth="1"/>
    <col min="10206" max="10208" width="15.7109375" bestFit="1" customWidth="1"/>
    <col min="10209" max="10209" width="16.7109375" bestFit="1" customWidth="1"/>
    <col min="10210" max="10212" width="15.7109375" bestFit="1" customWidth="1"/>
    <col min="10213" max="10213" width="16.7109375" bestFit="1" customWidth="1"/>
    <col min="10214" max="10216" width="15.7109375" bestFit="1" customWidth="1"/>
    <col min="10217" max="10217" width="16.7109375" bestFit="1" customWidth="1"/>
    <col min="10218" max="10218" width="15.7109375" bestFit="1" customWidth="1"/>
    <col min="10219" max="10220" width="16.42578125" bestFit="1" customWidth="1"/>
    <col min="10221" max="10221" width="16.7109375" bestFit="1" customWidth="1"/>
    <col min="10222" max="10224" width="16.42578125" bestFit="1" customWidth="1"/>
    <col min="10225" max="10225" width="16.7109375" bestFit="1" customWidth="1"/>
    <col min="10226" max="10264" width="16.42578125" bestFit="1" customWidth="1"/>
    <col min="10459" max="10459" width="26" customWidth="1"/>
    <col min="10460" max="10460" width="17.85546875" customWidth="1"/>
    <col min="10461" max="10461" width="16.42578125" customWidth="1"/>
    <col min="10462" max="10464" width="15.7109375" bestFit="1" customWidth="1"/>
    <col min="10465" max="10465" width="16.7109375" bestFit="1" customWidth="1"/>
    <col min="10466" max="10468" width="15.7109375" bestFit="1" customWidth="1"/>
    <col min="10469" max="10469" width="16.7109375" bestFit="1" customWidth="1"/>
    <col min="10470" max="10472" width="15.7109375" bestFit="1" customWidth="1"/>
    <col min="10473" max="10473" width="16.7109375" bestFit="1" customWidth="1"/>
    <col min="10474" max="10474" width="15.7109375" bestFit="1" customWidth="1"/>
    <col min="10475" max="10476" width="16.42578125" bestFit="1" customWidth="1"/>
    <col min="10477" max="10477" width="16.7109375" bestFit="1" customWidth="1"/>
    <col min="10478" max="10480" width="16.42578125" bestFit="1" customWidth="1"/>
    <col min="10481" max="10481" width="16.7109375" bestFit="1" customWidth="1"/>
    <col min="10482" max="10520" width="16.42578125" bestFit="1" customWidth="1"/>
    <col min="10715" max="10715" width="26" customWidth="1"/>
    <col min="10716" max="10716" width="17.85546875" customWidth="1"/>
    <col min="10717" max="10717" width="16.42578125" customWidth="1"/>
    <col min="10718" max="10720" width="15.7109375" bestFit="1" customWidth="1"/>
    <col min="10721" max="10721" width="16.7109375" bestFit="1" customWidth="1"/>
    <col min="10722" max="10724" width="15.7109375" bestFit="1" customWidth="1"/>
    <col min="10725" max="10725" width="16.7109375" bestFit="1" customWidth="1"/>
    <col min="10726" max="10728" width="15.7109375" bestFit="1" customWidth="1"/>
    <col min="10729" max="10729" width="16.7109375" bestFit="1" customWidth="1"/>
    <col min="10730" max="10730" width="15.7109375" bestFit="1" customWidth="1"/>
    <col min="10731" max="10732" width="16.42578125" bestFit="1" customWidth="1"/>
    <col min="10733" max="10733" width="16.7109375" bestFit="1" customWidth="1"/>
    <col min="10734" max="10736" width="16.42578125" bestFit="1" customWidth="1"/>
    <col min="10737" max="10737" width="16.7109375" bestFit="1" customWidth="1"/>
    <col min="10738" max="10776" width="16.42578125" bestFit="1" customWidth="1"/>
    <col min="10971" max="10971" width="26" customWidth="1"/>
    <col min="10972" max="10972" width="17.85546875" customWidth="1"/>
    <col min="10973" max="10973" width="16.42578125" customWidth="1"/>
    <col min="10974" max="10976" width="15.7109375" bestFit="1" customWidth="1"/>
    <col min="10977" max="10977" width="16.7109375" bestFit="1" customWidth="1"/>
    <col min="10978" max="10980" width="15.7109375" bestFit="1" customWidth="1"/>
    <col min="10981" max="10981" width="16.7109375" bestFit="1" customWidth="1"/>
    <col min="10982" max="10984" width="15.7109375" bestFit="1" customWidth="1"/>
    <col min="10985" max="10985" width="16.7109375" bestFit="1" customWidth="1"/>
    <col min="10986" max="10986" width="15.7109375" bestFit="1" customWidth="1"/>
    <col min="10987" max="10988" width="16.42578125" bestFit="1" customWidth="1"/>
    <col min="10989" max="10989" width="16.7109375" bestFit="1" customWidth="1"/>
    <col min="10990" max="10992" width="16.42578125" bestFit="1" customWidth="1"/>
    <col min="10993" max="10993" width="16.7109375" bestFit="1" customWidth="1"/>
    <col min="10994" max="11032" width="16.42578125" bestFit="1" customWidth="1"/>
    <col min="11227" max="11227" width="26" customWidth="1"/>
    <col min="11228" max="11228" width="17.85546875" customWidth="1"/>
    <col min="11229" max="11229" width="16.42578125" customWidth="1"/>
    <col min="11230" max="11232" width="15.7109375" bestFit="1" customWidth="1"/>
    <col min="11233" max="11233" width="16.7109375" bestFit="1" customWidth="1"/>
    <col min="11234" max="11236" width="15.7109375" bestFit="1" customWidth="1"/>
    <col min="11237" max="11237" width="16.7109375" bestFit="1" customWidth="1"/>
    <col min="11238" max="11240" width="15.7109375" bestFit="1" customWidth="1"/>
    <col min="11241" max="11241" width="16.7109375" bestFit="1" customWidth="1"/>
    <col min="11242" max="11242" width="15.7109375" bestFit="1" customWidth="1"/>
    <col min="11243" max="11244" width="16.42578125" bestFit="1" customWidth="1"/>
    <col min="11245" max="11245" width="16.7109375" bestFit="1" customWidth="1"/>
    <col min="11246" max="11248" width="16.42578125" bestFit="1" customWidth="1"/>
    <col min="11249" max="11249" width="16.7109375" bestFit="1" customWidth="1"/>
    <col min="11250" max="11288" width="16.42578125" bestFit="1" customWidth="1"/>
    <col min="11483" max="11483" width="26" customWidth="1"/>
    <col min="11484" max="11484" width="17.85546875" customWidth="1"/>
    <col min="11485" max="11485" width="16.42578125" customWidth="1"/>
    <col min="11486" max="11488" width="15.7109375" bestFit="1" customWidth="1"/>
    <col min="11489" max="11489" width="16.7109375" bestFit="1" customWidth="1"/>
    <col min="11490" max="11492" width="15.7109375" bestFit="1" customWidth="1"/>
    <col min="11493" max="11493" width="16.7109375" bestFit="1" customWidth="1"/>
    <col min="11494" max="11496" width="15.7109375" bestFit="1" customWidth="1"/>
    <col min="11497" max="11497" width="16.7109375" bestFit="1" customWidth="1"/>
    <col min="11498" max="11498" width="15.7109375" bestFit="1" customWidth="1"/>
    <col min="11499" max="11500" width="16.42578125" bestFit="1" customWidth="1"/>
    <col min="11501" max="11501" width="16.7109375" bestFit="1" customWidth="1"/>
    <col min="11502" max="11504" width="16.42578125" bestFit="1" customWidth="1"/>
    <col min="11505" max="11505" width="16.7109375" bestFit="1" customWidth="1"/>
    <col min="11506" max="11544" width="16.42578125" bestFit="1" customWidth="1"/>
    <col min="11739" max="11739" width="26" customWidth="1"/>
    <col min="11740" max="11740" width="17.85546875" customWidth="1"/>
    <col min="11741" max="11741" width="16.42578125" customWidth="1"/>
    <col min="11742" max="11744" width="15.7109375" bestFit="1" customWidth="1"/>
    <col min="11745" max="11745" width="16.7109375" bestFit="1" customWidth="1"/>
    <col min="11746" max="11748" width="15.7109375" bestFit="1" customWidth="1"/>
    <col min="11749" max="11749" width="16.7109375" bestFit="1" customWidth="1"/>
    <col min="11750" max="11752" width="15.7109375" bestFit="1" customWidth="1"/>
    <col min="11753" max="11753" width="16.7109375" bestFit="1" customWidth="1"/>
    <col min="11754" max="11754" width="15.7109375" bestFit="1" customWidth="1"/>
    <col min="11755" max="11756" width="16.42578125" bestFit="1" customWidth="1"/>
    <col min="11757" max="11757" width="16.7109375" bestFit="1" customWidth="1"/>
    <col min="11758" max="11760" width="16.42578125" bestFit="1" customWidth="1"/>
    <col min="11761" max="11761" width="16.7109375" bestFit="1" customWidth="1"/>
    <col min="11762" max="11800" width="16.42578125" bestFit="1" customWidth="1"/>
    <col min="11995" max="11995" width="26" customWidth="1"/>
    <col min="11996" max="11996" width="17.85546875" customWidth="1"/>
    <col min="11997" max="11997" width="16.42578125" customWidth="1"/>
    <col min="11998" max="12000" width="15.7109375" bestFit="1" customWidth="1"/>
    <col min="12001" max="12001" width="16.7109375" bestFit="1" customWidth="1"/>
    <col min="12002" max="12004" width="15.7109375" bestFit="1" customWidth="1"/>
    <col min="12005" max="12005" width="16.7109375" bestFit="1" customWidth="1"/>
    <col min="12006" max="12008" width="15.7109375" bestFit="1" customWidth="1"/>
    <col min="12009" max="12009" width="16.7109375" bestFit="1" customWidth="1"/>
    <col min="12010" max="12010" width="15.7109375" bestFit="1" customWidth="1"/>
    <col min="12011" max="12012" width="16.42578125" bestFit="1" customWidth="1"/>
    <col min="12013" max="12013" width="16.7109375" bestFit="1" customWidth="1"/>
    <col min="12014" max="12016" width="16.42578125" bestFit="1" customWidth="1"/>
    <col min="12017" max="12017" width="16.7109375" bestFit="1" customWidth="1"/>
    <col min="12018" max="12056" width="16.42578125" bestFit="1" customWidth="1"/>
    <col min="12251" max="12251" width="26" customWidth="1"/>
    <col min="12252" max="12252" width="17.85546875" customWidth="1"/>
    <col min="12253" max="12253" width="16.42578125" customWidth="1"/>
    <col min="12254" max="12256" width="15.7109375" bestFit="1" customWidth="1"/>
    <col min="12257" max="12257" width="16.7109375" bestFit="1" customWidth="1"/>
    <col min="12258" max="12260" width="15.7109375" bestFit="1" customWidth="1"/>
    <col min="12261" max="12261" width="16.7109375" bestFit="1" customWidth="1"/>
    <col min="12262" max="12264" width="15.7109375" bestFit="1" customWidth="1"/>
    <col min="12265" max="12265" width="16.7109375" bestFit="1" customWidth="1"/>
    <col min="12266" max="12266" width="15.7109375" bestFit="1" customWidth="1"/>
    <col min="12267" max="12268" width="16.42578125" bestFit="1" customWidth="1"/>
    <col min="12269" max="12269" width="16.7109375" bestFit="1" customWidth="1"/>
    <col min="12270" max="12272" width="16.42578125" bestFit="1" customWidth="1"/>
    <col min="12273" max="12273" width="16.7109375" bestFit="1" customWidth="1"/>
    <col min="12274" max="12312" width="16.42578125" bestFit="1" customWidth="1"/>
    <col min="12507" max="12507" width="26" customWidth="1"/>
    <col min="12508" max="12508" width="17.85546875" customWidth="1"/>
    <col min="12509" max="12509" width="16.42578125" customWidth="1"/>
    <col min="12510" max="12512" width="15.7109375" bestFit="1" customWidth="1"/>
    <col min="12513" max="12513" width="16.7109375" bestFit="1" customWidth="1"/>
    <col min="12514" max="12516" width="15.7109375" bestFit="1" customWidth="1"/>
    <col min="12517" max="12517" width="16.7109375" bestFit="1" customWidth="1"/>
    <col min="12518" max="12520" width="15.7109375" bestFit="1" customWidth="1"/>
    <col min="12521" max="12521" width="16.7109375" bestFit="1" customWidth="1"/>
    <col min="12522" max="12522" width="15.7109375" bestFit="1" customWidth="1"/>
    <col min="12523" max="12524" width="16.42578125" bestFit="1" customWidth="1"/>
    <col min="12525" max="12525" width="16.7109375" bestFit="1" customWidth="1"/>
    <col min="12526" max="12528" width="16.42578125" bestFit="1" customWidth="1"/>
    <col min="12529" max="12529" width="16.7109375" bestFit="1" customWidth="1"/>
    <col min="12530" max="12568" width="16.42578125" bestFit="1" customWidth="1"/>
    <col min="12763" max="12763" width="26" customWidth="1"/>
    <col min="12764" max="12764" width="17.85546875" customWidth="1"/>
    <col min="12765" max="12765" width="16.42578125" customWidth="1"/>
    <col min="12766" max="12768" width="15.7109375" bestFit="1" customWidth="1"/>
    <col min="12769" max="12769" width="16.7109375" bestFit="1" customWidth="1"/>
    <col min="12770" max="12772" width="15.7109375" bestFit="1" customWidth="1"/>
    <col min="12773" max="12773" width="16.7109375" bestFit="1" customWidth="1"/>
    <col min="12774" max="12776" width="15.7109375" bestFit="1" customWidth="1"/>
    <col min="12777" max="12777" width="16.7109375" bestFit="1" customWidth="1"/>
    <col min="12778" max="12778" width="15.7109375" bestFit="1" customWidth="1"/>
    <col min="12779" max="12780" width="16.42578125" bestFit="1" customWidth="1"/>
    <col min="12781" max="12781" width="16.7109375" bestFit="1" customWidth="1"/>
    <col min="12782" max="12784" width="16.42578125" bestFit="1" customWidth="1"/>
    <col min="12785" max="12785" width="16.7109375" bestFit="1" customWidth="1"/>
    <col min="12786" max="12824" width="16.42578125" bestFit="1" customWidth="1"/>
    <col min="13019" max="13019" width="26" customWidth="1"/>
    <col min="13020" max="13020" width="17.85546875" customWidth="1"/>
    <col min="13021" max="13021" width="16.42578125" customWidth="1"/>
    <col min="13022" max="13024" width="15.7109375" bestFit="1" customWidth="1"/>
    <col min="13025" max="13025" width="16.7109375" bestFit="1" customWidth="1"/>
    <col min="13026" max="13028" width="15.7109375" bestFit="1" customWidth="1"/>
    <col min="13029" max="13029" width="16.7109375" bestFit="1" customWidth="1"/>
    <col min="13030" max="13032" width="15.7109375" bestFit="1" customWidth="1"/>
    <col min="13033" max="13033" width="16.7109375" bestFit="1" customWidth="1"/>
    <col min="13034" max="13034" width="15.7109375" bestFit="1" customWidth="1"/>
    <col min="13035" max="13036" width="16.42578125" bestFit="1" customWidth="1"/>
    <col min="13037" max="13037" width="16.7109375" bestFit="1" customWidth="1"/>
    <col min="13038" max="13040" width="16.42578125" bestFit="1" customWidth="1"/>
    <col min="13041" max="13041" width="16.7109375" bestFit="1" customWidth="1"/>
    <col min="13042" max="13080" width="16.42578125" bestFit="1" customWidth="1"/>
    <col min="13275" max="13275" width="26" customWidth="1"/>
    <col min="13276" max="13276" width="17.85546875" customWidth="1"/>
    <col min="13277" max="13277" width="16.42578125" customWidth="1"/>
    <col min="13278" max="13280" width="15.7109375" bestFit="1" customWidth="1"/>
    <col min="13281" max="13281" width="16.7109375" bestFit="1" customWidth="1"/>
    <col min="13282" max="13284" width="15.7109375" bestFit="1" customWidth="1"/>
    <col min="13285" max="13285" width="16.7109375" bestFit="1" customWidth="1"/>
    <col min="13286" max="13288" width="15.7109375" bestFit="1" customWidth="1"/>
    <col min="13289" max="13289" width="16.7109375" bestFit="1" customWidth="1"/>
    <col min="13290" max="13290" width="15.7109375" bestFit="1" customWidth="1"/>
    <col min="13291" max="13292" width="16.42578125" bestFit="1" customWidth="1"/>
    <col min="13293" max="13293" width="16.7109375" bestFit="1" customWidth="1"/>
    <col min="13294" max="13296" width="16.42578125" bestFit="1" customWidth="1"/>
    <col min="13297" max="13297" width="16.7109375" bestFit="1" customWidth="1"/>
    <col min="13298" max="13336" width="16.42578125" bestFit="1" customWidth="1"/>
    <col min="13531" max="13531" width="26" customWidth="1"/>
    <col min="13532" max="13532" width="17.85546875" customWidth="1"/>
    <col min="13533" max="13533" width="16.42578125" customWidth="1"/>
    <col min="13534" max="13536" width="15.7109375" bestFit="1" customWidth="1"/>
    <col min="13537" max="13537" width="16.7109375" bestFit="1" customWidth="1"/>
    <col min="13538" max="13540" width="15.7109375" bestFit="1" customWidth="1"/>
    <col min="13541" max="13541" width="16.7109375" bestFit="1" customWidth="1"/>
    <col min="13542" max="13544" width="15.7109375" bestFit="1" customWidth="1"/>
    <col min="13545" max="13545" width="16.7109375" bestFit="1" customWidth="1"/>
    <col min="13546" max="13546" width="15.7109375" bestFit="1" customWidth="1"/>
    <col min="13547" max="13548" width="16.42578125" bestFit="1" customWidth="1"/>
    <col min="13549" max="13549" width="16.7109375" bestFit="1" customWidth="1"/>
    <col min="13550" max="13552" width="16.42578125" bestFit="1" customWidth="1"/>
    <col min="13553" max="13553" width="16.7109375" bestFit="1" customWidth="1"/>
    <col min="13554" max="13592" width="16.42578125" bestFit="1" customWidth="1"/>
    <col min="13787" max="13787" width="26" customWidth="1"/>
    <col min="13788" max="13788" width="17.85546875" customWidth="1"/>
    <col min="13789" max="13789" width="16.42578125" customWidth="1"/>
    <col min="13790" max="13792" width="15.7109375" bestFit="1" customWidth="1"/>
    <col min="13793" max="13793" width="16.7109375" bestFit="1" customWidth="1"/>
    <col min="13794" max="13796" width="15.7109375" bestFit="1" customWidth="1"/>
    <col min="13797" max="13797" width="16.7109375" bestFit="1" customWidth="1"/>
    <col min="13798" max="13800" width="15.7109375" bestFit="1" customWidth="1"/>
    <col min="13801" max="13801" width="16.7109375" bestFit="1" customWidth="1"/>
    <col min="13802" max="13802" width="15.7109375" bestFit="1" customWidth="1"/>
    <col min="13803" max="13804" width="16.42578125" bestFit="1" customWidth="1"/>
    <col min="13805" max="13805" width="16.7109375" bestFit="1" customWidth="1"/>
    <col min="13806" max="13808" width="16.42578125" bestFit="1" customWidth="1"/>
    <col min="13809" max="13809" width="16.7109375" bestFit="1" customWidth="1"/>
    <col min="13810" max="13848" width="16.42578125" bestFit="1" customWidth="1"/>
    <col min="14043" max="14043" width="26" customWidth="1"/>
    <col min="14044" max="14044" width="17.85546875" customWidth="1"/>
    <col min="14045" max="14045" width="16.42578125" customWidth="1"/>
    <col min="14046" max="14048" width="15.7109375" bestFit="1" customWidth="1"/>
    <col min="14049" max="14049" width="16.7109375" bestFit="1" customWidth="1"/>
    <col min="14050" max="14052" width="15.7109375" bestFit="1" customWidth="1"/>
    <col min="14053" max="14053" width="16.7109375" bestFit="1" customWidth="1"/>
    <col min="14054" max="14056" width="15.7109375" bestFit="1" customWidth="1"/>
    <col min="14057" max="14057" width="16.7109375" bestFit="1" customWidth="1"/>
    <col min="14058" max="14058" width="15.7109375" bestFit="1" customWidth="1"/>
    <col min="14059" max="14060" width="16.42578125" bestFit="1" customWidth="1"/>
    <col min="14061" max="14061" width="16.7109375" bestFit="1" customWidth="1"/>
    <col min="14062" max="14064" width="16.42578125" bestFit="1" customWidth="1"/>
    <col min="14065" max="14065" width="16.7109375" bestFit="1" customWidth="1"/>
    <col min="14066" max="14104" width="16.42578125" bestFit="1" customWidth="1"/>
    <col min="14299" max="14299" width="26" customWidth="1"/>
    <col min="14300" max="14300" width="17.85546875" customWidth="1"/>
    <col min="14301" max="14301" width="16.42578125" customWidth="1"/>
    <col min="14302" max="14304" width="15.7109375" bestFit="1" customWidth="1"/>
    <col min="14305" max="14305" width="16.7109375" bestFit="1" customWidth="1"/>
    <col min="14306" max="14308" width="15.7109375" bestFit="1" customWidth="1"/>
    <col min="14309" max="14309" width="16.7109375" bestFit="1" customWidth="1"/>
    <col min="14310" max="14312" width="15.7109375" bestFit="1" customWidth="1"/>
    <col min="14313" max="14313" width="16.7109375" bestFit="1" customWidth="1"/>
    <col min="14314" max="14314" width="15.7109375" bestFit="1" customWidth="1"/>
    <col min="14315" max="14316" width="16.42578125" bestFit="1" customWidth="1"/>
    <col min="14317" max="14317" width="16.7109375" bestFit="1" customWidth="1"/>
    <col min="14318" max="14320" width="16.42578125" bestFit="1" customWidth="1"/>
    <col min="14321" max="14321" width="16.7109375" bestFit="1" customWidth="1"/>
    <col min="14322" max="14360" width="16.42578125" bestFit="1" customWidth="1"/>
    <col min="14555" max="14555" width="26" customWidth="1"/>
    <col min="14556" max="14556" width="17.85546875" customWidth="1"/>
    <col min="14557" max="14557" width="16.42578125" customWidth="1"/>
    <col min="14558" max="14560" width="15.7109375" bestFit="1" customWidth="1"/>
    <col min="14561" max="14561" width="16.7109375" bestFit="1" customWidth="1"/>
    <col min="14562" max="14564" width="15.7109375" bestFit="1" customWidth="1"/>
    <col min="14565" max="14565" width="16.7109375" bestFit="1" customWidth="1"/>
    <col min="14566" max="14568" width="15.7109375" bestFit="1" customWidth="1"/>
    <col min="14569" max="14569" width="16.7109375" bestFit="1" customWidth="1"/>
    <col min="14570" max="14570" width="15.7109375" bestFit="1" customWidth="1"/>
    <col min="14571" max="14572" width="16.42578125" bestFit="1" customWidth="1"/>
    <col min="14573" max="14573" width="16.7109375" bestFit="1" customWidth="1"/>
    <col min="14574" max="14576" width="16.42578125" bestFit="1" customWidth="1"/>
    <col min="14577" max="14577" width="16.7109375" bestFit="1" customWidth="1"/>
    <col min="14578" max="14616" width="16.42578125" bestFit="1" customWidth="1"/>
    <col min="14811" max="14811" width="26" customWidth="1"/>
    <col min="14812" max="14812" width="17.85546875" customWidth="1"/>
    <col min="14813" max="14813" width="16.42578125" customWidth="1"/>
    <col min="14814" max="14816" width="15.7109375" bestFit="1" customWidth="1"/>
    <col min="14817" max="14817" width="16.7109375" bestFit="1" customWidth="1"/>
    <col min="14818" max="14820" width="15.7109375" bestFit="1" customWidth="1"/>
    <col min="14821" max="14821" width="16.7109375" bestFit="1" customWidth="1"/>
    <col min="14822" max="14824" width="15.7109375" bestFit="1" customWidth="1"/>
    <col min="14825" max="14825" width="16.7109375" bestFit="1" customWidth="1"/>
    <col min="14826" max="14826" width="15.7109375" bestFit="1" customWidth="1"/>
    <col min="14827" max="14828" width="16.42578125" bestFit="1" customWidth="1"/>
    <col min="14829" max="14829" width="16.7109375" bestFit="1" customWidth="1"/>
    <col min="14830" max="14832" width="16.42578125" bestFit="1" customWidth="1"/>
    <col min="14833" max="14833" width="16.7109375" bestFit="1" customWidth="1"/>
    <col min="14834" max="14872" width="16.42578125" bestFit="1" customWidth="1"/>
    <col min="15067" max="15067" width="26" customWidth="1"/>
    <col min="15068" max="15068" width="17.85546875" customWidth="1"/>
    <col min="15069" max="15069" width="16.42578125" customWidth="1"/>
    <col min="15070" max="15072" width="15.7109375" bestFit="1" customWidth="1"/>
    <col min="15073" max="15073" width="16.7109375" bestFit="1" customWidth="1"/>
    <col min="15074" max="15076" width="15.7109375" bestFit="1" customWidth="1"/>
    <col min="15077" max="15077" width="16.7109375" bestFit="1" customWidth="1"/>
    <col min="15078" max="15080" width="15.7109375" bestFit="1" customWidth="1"/>
    <col min="15081" max="15081" width="16.7109375" bestFit="1" customWidth="1"/>
    <col min="15082" max="15082" width="15.7109375" bestFit="1" customWidth="1"/>
    <col min="15083" max="15084" width="16.42578125" bestFit="1" customWidth="1"/>
    <col min="15085" max="15085" width="16.7109375" bestFit="1" customWidth="1"/>
    <col min="15086" max="15088" width="16.42578125" bestFit="1" customWidth="1"/>
    <col min="15089" max="15089" width="16.7109375" bestFit="1" customWidth="1"/>
    <col min="15090" max="15128" width="16.42578125" bestFit="1" customWidth="1"/>
    <col min="15323" max="15323" width="26" customWidth="1"/>
    <col min="15324" max="15324" width="17.85546875" customWidth="1"/>
    <col min="15325" max="15325" width="16.42578125" customWidth="1"/>
    <col min="15326" max="15328" width="15.7109375" bestFit="1" customWidth="1"/>
    <col min="15329" max="15329" width="16.7109375" bestFit="1" customWidth="1"/>
    <col min="15330" max="15332" width="15.7109375" bestFit="1" customWidth="1"/>
    <col min="15333" max="15333" width="16.7109375" bestFit="1" customWidth="1"/>
    <col min="15334" max="15336" width="15.7109375" bestFit="1" customWidth="1"/>
    <col min="15337" max="15337" width="16.7109375" bestFit="1" customWidth="1"/>
    <col min="15338" max="15338" width="15.7109375" bestFit="1" customWidth="1"/>
    <col min="15339" max="15340" width="16.42578125" bestFit="1" customWidth="1"/>
    <col min="15341" max="15341" width="16.7109375" bestFit="1" customWidth="1"/>
    <col min="15342" max="15344" width="16.42578125" bestFit="1" customWidth="1"/>
    <col min="15345" max="15345" width="16.7109375" bestFit="1" customWidth="1"/>
    <col min="15346" max="15384" width="16.42578125" bestFit="1" customWidth="1"/>
    <col min="15579" max="15579" width="26" customWidth="1"/>
    <col min="15580" max="15580" width="17.85546875" customWidth="1"/>
    <col min="15581" max="15581" width="16.42578125" customWidth="1"/>
    <col min="15582" max="15584" width="15.7109375" bestFit="1" customWidth="1"/>
    <col min="15585" max="15585" width="16.7109375" bestFit="1" customWidth="1"/>
    <col min="15586" max="15588" width="15.7109375" bestFit="1" customWidth="1"/>
    <col min="15589" max="15589" width="16.7109375" bestFit="1" customWidth="1"/>
    <col min="15590" max="15592" width="15.7109375" bestFit="1" customWidth="1"/>
    <col min="15593" max="15593" width="16.7109375" bestFit="1" customWidth="1"/>
    <col min="15594" max="15594" width="15.7109375" bestFit="1" customWidth="1"/>
    <col min="15595" max="15596" width="16.42578125" bestFit="1" customWidth="1"/>
    <col min="15597" max="15597" width="16.7109375" bestFit="1" customWidth="1"/>
    <col min="15598" max="15600" width="16.42578125" bestFit="1" customWidth="1"/>
    <col min="15601" max="15601" width="16.7109375" bestFit="1" customWidth="1"/>
    <col min="15602" max="15640" width="16.42578125" bestFit="1" customWidth="1"/>
    <col min="15835" max="15835" width="26" customWidth="1"/>
    <col min="15836" max="15836" width="17.85546875" customWidth="1"/>
    <col min="15837" max="15837" width="16.42578125" customWidth="1"/>
    <col min="15838" max="15840" width="15.7109375" bestFit="1" customWidth="1"/>
    <col min="15841" max="15841" width="16.7109375" bestFit="1" customWidth="1"/>
    <col min="15842" max="15844" width="15.7109375" bestFit="1" customWidth="1"/>
    <col min="15845" max="15845" width="16.7109375" bestFit="1" customWidth="1"/>
    <col min="15846" max="15848" width="15.7109375" bestFit="1" customWidth="1"/>
    <col min="15849" max="15849" width="16.7109375" bestFit="1" customWidth="1"/>
    <col min="15850" max="15850" width="15.7109375" bestFit="1" customWidth="1"/>
    <col min="15851" max="15852" width="16.42578125" bestFit="1" customWidth="1"/>
    <col min="15853" max="15853" width="16.7109375" bestFit="1" customWidth="1"/>
    <col min="15854" max="15856" width="16.42578125" bestFit="1" customWidth="1"/>
    <col min="15857" max="15857" width="16.7109375" bestFit="1" customWidth="1"/>
    <col min="15858" max="15896" width="16.42578125" bestFit="1" customWidth="1"/>
    <col min="16091" max="16091" width="26" customWidth="1"/>
    <col min="16092" max="16092" width="17.85546875" customWidth="1"/>
    <col min="16093" max="16093" width="16.42578125" customWidth="1"/>
    <col min="16094" max="16096" width="15.7109375" bestFit="1" customWidth="1"/>
    <col min="16097" max="16097" width="16.7109375" bestFit="1" customWidth="1"/>
    <col min="16098" max="16100" width="15.7109375" bestFit="1" customWidth="1"/>
    <col min="16101" max="16101" width="16.7109375" bestFit="1" customWidth="1"/>
    <col min="16102" max="16104" width="15.7109375" bestFit="1" customWidth="1"/>
    <col min="16105" max="16105" width="16.7109375" bestFit="1" customWidth="1"/>
    <col min="16106" max="16106" width="15.7109375" bestFit="1" customWidth="1"/>
    <col min="16107" max="16108" width="16.42578125" bestFit="1" customWidth="1"/>
    <col min="16109" max="16109" width="16.7109375" bestFit="1" customWidth="1"/>
    <col min="16110" max="16112" width="16.42578125" bestFit="1" customWidth="1"/>
    <col min="16113" max="16113" width="16.7109375" bestFit="1" customWidth="1"/>
    <col min="16114" max="16152" width="16.42578125" bestFit="1" customWidth="1"/>
  </cols>
  <sheetData>
    <row r="2" spans="1:5" ht="14.25" customHeight="1" x14ac:dyDescent="0.25"/>
    <row r="3" spans="1:5" ht="30" x14ac:dyDescent="0.25">
      <c r="A3" s="23" t="s">
        <v>0</v>
      </c>
      <c r="B3" s="24" t="s">
        <v>15</v>
      </c>
      <c r="C3" s="24" t="s">
        <v>16</v>
      </c>
      <c r="D3" s="326" t="s">
        <v>17</v>
      </c>
      <c r="E3" s="24" t="s">
        <v>18</v>
      </c>
    </row>
    <row r="4" spans="1:5" x14ac:dyDescent="0.25">
      <c r="A4" s="21">
        <v>42644</v>
      </c>
      <c r="B4" s="12">
        <f>'Quarterly Projections'!B3</f>
        <v>353216.30434782617</v>
      </c>
      <c r="C4" s="12">
        <f>B4</f>
        <v>353216.30434782617</v>
      </c>
      <c r="D4" s="12">
        <f>'Actual Totals'!B3</f>
        <v>0</v>
      </c>
      <c r="E4" s="12">
        <f>'Financial Proj'!D4</f>
        <v>0</v>
      </c>
    </row>
    <row r="5" spans="1:5" x14ac:dyDescent="0.25">
      <c r="A5" s="21">
        <v>42736</v>
      </c>
      <c r="B5" s="12">
        <f>'Quarterly Projections'!B4</f>
        <v>353216.30434782617</v>
      </c>
      <c r="C5" s="325">
        <f>C4+B5</f>
        <v>706432.60869565234</v>
      </c>
      <c r="D5" s="12">
        <f>'Actual Totals'!B4</f>
        <v>0</v>
      </c>
      <c r="E5" s="12">
        <f>E4+D5</f>
        <v>0</v>
      </c>
    </row>
    <row r="6" spans="1:5" x14ac:dyDescent="0.25">
      <c r="A6" s="21">
        <v>42826</v>
      </c>
      <c r="B6" s="12">
        <f>'Quarterly Projections'!B5</f>
        <v>353216.30434782617</v>
      </c>
      <c r="C6" s="325">
        <f t="shared" ref="C6:C29" si="0">C5+B6</f>
        <v>1059648.9130434785</v>
      </c>
      <c r="D6" s="12">
        <f>'Actual Totals'!B5</f>
        <v>0</v>
      </c>
      <c r="E6" s="12">
        <f t="shared" ref="E6:E29" si="1">E5+D6</f>
        <v>0</v>
      </c>
    </row>
    <row r="7" spans="1:5" x14ac:dyDescent="0.25">
      <c r="A7" s="21">
        <v>42917</v>
      </c>
      <c r="B7" s="12">
        <f>'Quarterly Projections'!B6</f>
        <v>353216.30434782617</v>
      </c>
      <c r="C7" s="325">
        <f t="shared" si="0"/>
        <v>1412865.2173913047</v>
      </c>
      <c r="D7" s="12">
        <f>'Actual Totals'!B6</f>
        <v>0</v>
      </c>
      <c r="E7" s="12">
        <f t="shared" si="1"/>
        <v>0</v>
      </c>
    </row>
    <row r="8" spans="1:5" x14ac:dyDescent="0.25">
      <c r="A8" s="21">
        <v>43009</v>
      </c>
      <c r="B8" s="12">
        <f>'Quarterly Projections'!B7</f>
        <v>353216.30434782617</v>
      </c>
      <c r="C8" s="325">
        <f t="shared" si="0"/>
        <v>1766081.5217391308</v>
      </c>
      <c r="D8" s="12">
        <f>'Actual Totals'!B7</f>
        <v>0</v>
      </c>
      <c r="E8" s="12">
        <f t="shared" si="1"/>
        <v>0</v>
      </c>
    </row>
    <row r="9" spans="1:5" x14ac:dyDescent="0.25">
      <c r="A9" s="21">
        <v>43101</v>
      </c>
      <c r="B9" s="12">
        <f>'Quarterly Projections'!B8</f>
        <v>353216.30434782617</v>
      </c>
      <c r="C9" s="325">
        <f t="shared" si="0"/>
        <v>2119297.826086957</v>
      </c>
      <c r="D9" s="12">
        <f>'Actual Totals'!B8</f>
        <v>0</v>
      </c>
      <c r="E9" s="12">
        <f t="shared" si="1"/>
        <v>0</v>
      </c>
    </row>
    <row r="10" spans="1:5" x14ac:dyDescent="0.25">
      <c r="A10" s="21">
        <v>43191</v>
      </c>
      <c r="B10" s="12">
        <f>'Quarterly Projections'!B9</f>
        <v>353216.30434782617</v>
      </c>
      <c r="C10" s="325">
        <f t="shared" si="0"/>
        <v>2472514.1304347832</v>
      </c>
      <c r="D10" s="12">
        <f>'Actual Totals'!B9</f>
        <v>239506</v>
      </c>
      <c r="E10" s="12">
        <f t="shared" si="1"/>
        <v>239506</v>
      </c>
    </row>
    <row r="11" spans="1:5" x14ac:dyDescent="0.25">
      <c r="A11" s="21">
        <v>43282</v>
      </c>
      <c r="B11" s="12">
        <f>'Quarterly Projections'!B10</f>
        <v>353216.30434782617</v>
      </c>
      <c r="C11" s="325">
        <f t="shared" si="0"/>
        <v>2825730.4347826093</v>
      </c>
      <c r="D11" s="12">
        <f>'Actual Totals'!B10</f>
        <v>165144</v>
      </c>
      <c r="E11" s="12">
        <f t="shared" si="1"/>
        <v>404650</v>
      </c>
    </row>
    <row r="12" spans="1:5" x14ac:dyDescent="0.25">
      <c r="A12" s="21">
        <v>43374</v>
      </c>
      <c r="B12" s="12">
        <f>'Quarterly Projections'!B11</f>
        <v>353216.30434782617</v>
      </c>
      <c r="C12" s="325">
        <f t="shared" si="0"/>
        <v>3178946.7391304355</v>
      </c>
      <c r="D12" s="12">
        <f>'Actual Totals'!B11</f>
        <v>621214</v>
      </c>
      <c r="E12" s="12">
        <f t="shared" si="1"/>
        <v>1025864</v>
      </c>
    </row>
    <row r="13" spans="1:5" x14ac:dyDescent="0.25">
      <c r="A13" s="21">
        <v>43466</v>
      </c>
      <c r="B13" s="12">
        <f>'Quarterly Projections'!B12</f>
        <v>353216.30434782617</v>
      </c>
      <c r="C13" s="325">
        <f t="shared" si="0"/>
        <v>3532163.0434782617</v>
      </c>
      <c r="D13" s="12">
        <f>'Actual Totals'!B12</f>
        <v>0</v>
      </c>
      <c r="E13" s="12">
        <f t="shared" si="1"/>
        <v>1025864</v>
      </c>
    </row>
    <row r="14" spans="1:5" x14ac:dyDescent="0.25">
      <c r="A14" s="21">
        <v>43556</v>
      </c>
      <c r="B14" s="12">
        <f>'Quarterly Projections'!B13</f>
        <v>353216.30434782617</v>
      </c>
      <c r="C14" s="325">
        <f t="shared" si="0"/>
        <v>3885379.3478260878</v>
      </c>
      <c r="D14" s="12">
        <f>'Actual Totals'!B13</f>
        <v>707453</v>
      </c>
      <c r="E14" s="12">
        <f t="shared" si="1"/>
        <v>1733317</v>
      </c>
    </row>
    <row r="15" spans="1:5" x14ac:dyDescent="0.25">
      <c r="A15" s="21">
        <v>43647</v>
      </c>
      <c r="B15" s="12">
        <f>'Quarterly Projections'!B14</f>
        <v>353216.30434782617</v>
      </c>
      <c r="C15" s="325">
        <f t="shared" si="0"/>
        <v>4238595.652173914</v>
      </c>
      <c r="D15" s="12">
        <f>'Actual Totals'!B14</f>
        <v>460333</v>
      </c>
      <c r="E15" s="12">
        <f t="shared" si="1"/>
        <v>2193650</v>
      </c>
    </row>
    <row r="16" spans="1:5" x14ac:dyDescent="0.25">
      <c r="A16" s="21">
        <v>43739</v>
      </c>
      <c r="B16" s="12">
        <f>'Quarterly Projections'!B15</f>
        <v>353216.30434782617</v>
      </c>
      <c r="C16" s="325">
        <f t="shared" si="0"/>
        <v>4591811.9565217402</v>
      </c>
      <c r="D16" s="12">
        <f>'Actual Totals'!B15</f>
        <v>1247602</v>
      </c>
      <c r="E16" s="12">
        <f t="shared" si="1"/>
        <v>3441252</v>
      </c>
    </row>
    <row r="17" spans="1:6" x14ac:dyDescent="0.25">
      <c r="A17" s="21">
        <v>43831</v>
      </c>
      <c r="B17" s="12">
        <f>'Quarterly Projections'!B16</f>
        <v>353216.30434782617</v>
      </c>
      <c r="C17" s="325">
        <f t="shared" si="0"/>
        <v>4945028.2608695664</v>
      </c>
      <c r="D17" s="12">
        <f>'Actual Totals'!B16</f>
        <v>663988</v>
      </c>
      <c r="E17" s="12">
        <f t="shared" si="1"/>
        <v>4105240</v>
      </c>
    </row>
    <row r="18" spans="1:6" x14ac:dyDescent="0.25">
      <c r="A18" s="21">
        <v>43922</v>
      </c>
      <c r="B18" s="12">
        <f>'Quarterly Projections'!B17</f>
        <v>353216.30434782617</v>
      </c>
      <c r="C18" s="325">
        <f t="shared" si="0"/>
        <v>5298244.5652173925</v>
      </c>
      <c r="D18" s="12">
        <f>'Actual Totals'!B17</f>
        <v>507649</v>
      </c>
      <c r="E18" s="12">
        <f t="shared" si="1"/>
        <v>4612889</v>
      </c>
    </row>
    <row r="19" spans="1:6" x14ac:dyDescent="0.25">
      <c r="A19" s="21">
        <v>44013</v>
      </c>
      <c r="B19" s="12">
        <f>'Quarterly Projections'!B18</f>
        <v>353216.30434782617</v>
      </c>
      <c r="C19" s="325">
        <f t="shared" si="0"/>
        <v>5651460.8695652187</v>
      </c>
      <c r="D19" s="12">
        <f>'Actual Totals'!B18</f>
        <v>0</v>
      </c>
      <c r="E19" s="12">
        <f t="shared" si="1"/>
        <v>4612889</v>
      </c>
    </row>
    <row r="20" spans="1:6" x14ac:dyDescent="0.25">
      <c r="A20" s="21">
        <v>44105</v>
      </c>
      <c r="B20" s="12">
        <f>'Quarterly Projections'!B19</f>
        <v>353216.30434782617</v>
      </c>
      <c r="C20" s="325">
        <f t="shared" si="0"/>
        <v>6004677.1739130449</v>
      </c>
      <c r="D20" s="12">
        <f>'Actual Totals'!B19</f>
        <v>550672</v>
      </c>
      <c r="E20" s="12">
        <f t="shared" si="1"/>
        <v>5163561</v>
      </c>
    </row>
    <row r="21" spans="1:6" x14ac:dyDescent="0.25">
      <c r="A21" s="21">
        <v>44197</v>
      </c>
      <c r="B21" s="12">
        <f>'Quarterly Projections'!B20</f>
        <v>353216.30434782617</v>
      </c>
      <c r="C21" s="325">
        <f t="shared" si="0"/>
        <v>6357893.478260871</v>
      </c>
      <c r="D21" s="12">
        <f>'Actual Totals'!B20</f>
        <v>453037</v>
      </c>
      <c r="E21" s="12">
        <f t="shared" si="1"/>
        <v>5616598</v>
      </c>
    </row>
    <row r="22" spans="1:6" x14ac:dyDescent="0.25">
      <c r="A22" s="21">
        <v>44287</v>
      </c>
      <c r="B22" s="12">
        <f>'Quarterly Projections'!B21</f>
        <v>353216.30434782617</v>
      </c>
      <c r="C22" s="325">
        <f t="shared" si="0"/>
        <v>6711109.7826086972</v>
      </c>
      <c r="D22" s="12">
        <f>'Actual Totals'!B21</f>
        <v>226769</v>
      </c>
      <c r="E22" s="12">
        <f t="shared" si="1"/>
        <v>5843367</v>
      </c>
    </row>
    <row r="23" spans="1:6" x14ac:dyDescent="0.25">
      <c r="A23" s="21">
        <v>44378</v>
      </c>
      <c r="B23" s="12">
        <f>'Quarterly Projections'!B22</f>
        <v>353216.30434782617</v>
      </c>
      <c r="C23" s="325">
        <f t="shared" si="0"/>
        <v>7064326.0869565234</v>
      </c>
      <c r="D23" s="12">
        <f>'Actual Totals'!B22</f>
        <v>899588</v>
      </c>
      <c r="E23" s="12">
        <f t="shared" si="1"/>
        <v>6742955</v>
      </c>
    </row>
    <row r="24" spans="1:6" x14ac:dyDescent="0.25">
      <c r="A24" s="21">
        <v>44470</v>
      </c>
      <c r="B24" s="12">
        <f>'Quarterly Projections'!B23</f>
        <v>353216.30434782617</v>
      </c>
      <c r="C24" s="325">
        <f t="shared" si="0"/>
        <v>7417542.3913043495</v>
      </c>
      <c r="D24" s="12">
        <f>'Actual Totals'!B23</f>
        <v>0</v>
      </c>
      <c r="E24" s="12">
        <f t="shared" si="1"/>
        <v>6742955</v>
      </c>
    </row>
    <row r="25" spans="1:6" x14ac:dyDescent="0.25">
      <c r="A25" s="21">
        <v>44562</v>
      </c>
      <c r="B25" s="12">
        <f>'Quarterly Projections'!B24</f>
        <v>353216.30434782617</v>
      </c>
      <c r="C25" s="325">
        <f t="shared" si="0"/>
        <v>7770758.6956521757</v>
      </c>
      <c r="D25" s="12">
        <f>'Actual Totals'!B24</f>
        <v>585843</v>
      </c>
      <c r="E25" s="12">
        <f t="shared" si="1"/>
        <v>7328798</v>
      </c>
    </row>
    <row r="26" spans="1:6" x14ac:dyDescent="0.25">
      <c r="A26" s="21">
        <v>44652</v>
      </c>
      <c r="B26" s="12">
        <f>'Quarterly Projections'!B25</f>
        <v>353216.30434782617</v>
      </c>
      <c r="C26" s="325">
        <f t="shared" si="0"/>
        <v>8123975.0000000019</v>
      </c>
      <c r="D26" s="12">
        <f>'Actual Totals'!B25</f>
        <v>157932</v>
      </c>
      <c r="E26" s="12">
        <f t="shared" si="1"/>
        <v>7486730</v>
      </c>
    </row>
    <row r="27" spans="1:6" x14ac:dyDescent="0.25">
      <c r="A27" s="21">
        <v>44743</v>
      </c>
      <c r="B27" s="12">
        <f>'Quarterly Projections'!B26</f>
        <v>0</v>
      </c>
      <c r="C27" s="325">
        <f t="shared" si="0"/>
        <v>8123975.0000000019</v>
      </c>
      <c r="D27" s="12">
        <f>'Actual Totals'!B26</f>
        <v>637245</v>
      </c>
      <c r="E27" s="12">
        <f t="shared" si="1"/>
        <v>8123975</v>
      </c>
    </row>
    <row r="28" spans="1:6" x14ac:dyDescent="0.25">
      <c r="A28" s="21">
        <v>44835</v>
      </c>
      <c r="B28" s="12">
        <f>'Quarterly Projections'!B27</f>
        <v>0</v>
      </c>
      <c r="C28" s="325">
        <f t="shared" si="0"/>
        <v>8123975.0000000019</v>
      </c>
      <c r="D28" s="12">
        <f>'Actual Totals'!B27</f>
        <v>0</v>
      </c>
      <c r="E28" s="12">
        <f t="shared" si="1"/>
        <v>8123975</v>
      </c>
      <c r="F28" s="330" t="s">
        <v>19</v>
      </c>
    </row>
    <row r="29" spans="1:6" x14ac:dyDescent="0.25">
      <c r="A29" s="21">
        <v>44927</v>
      </c>
      <c r="B29" s="12">
        <f>'Quarterly Projections'!B28</f>
        <v>0</v>
      </c>
      <c r="C29" s="325">
        <f t="shared" si="0"/>
        <v>8123975.0000000019</v>
      </c>
      <c r="D29" s="12">
        <f>'Actual Totals'!B28</f>
        <v>0</v>
      </c>
      <c r="E29" s="12">
        <f t="shared" si="1"/>
        <v>8123975</v>
      </c>
      <c r="F29" s="12">
        <f>C29-E29</f>
        <v>0</v>
      </c>
    </row>
    <row r="31" spans="1:6" ht="30" x14ac:dyDescent="0.25">
      <c r="A31" s="23" t="s">
        <v>20</v>
      </c>
      <c r="B31" s="24" t="s">
        <v>15</v>
      </c>
      <c r="C31" s="24" t="s">
        <v>16</v>
      </c>
      <c r="D31" s="326" t="s">
        <v>17</v>
      </c>
      <c r="E31" s="24" t="s">
        <v>18</v>
      </c>
    </row>
    <row r="32" spans="1:6" x14ac:dyDescent="0.25">
      <c r="A32" s="21">
        <v>42644</v>
      </c>
      <c r="B32" s="12">
        <f>'Quarterly Projections'!C3</f>
        <v>2977730.444202899</v>
      </c>
      <c r="C32" s="12">
        <f>B32</f>
        <v>2977730.444202899</v>
      </c>
      <c r="D32" s="12">
        <f>'Actual Totals'!C3</f>
        <v>0</v>
      </c>
      <c r="E32" s="12">
        <f>'Financial Proj'!D32</f>
        <v>0</v>
      </c>
    </row>
    <row r="33" spans="1:24" x14ac:dyDescent="0.25">
      <c r="A33" s="21">
        <v>42736</v>
      </c>
      <c r="B33" s="12">
        <f>'Quarterly Projections'!C4</f>
        <v>2977730.444202899</v>
      </c>
      <c r="C33" s="325">
        <f>C32+B33</f>
        <v>5955460.888405798</v>
      </c>
      <c r="D33" s="12">
        <f>'Actual Totals'!C4</f>
        <v>24702</v>
      </c>
      <c r="E33" s="12">
        <f>E32+D33</f>
        <v>24702</v>
      </c>
    </row>
    <row r="34" spans="1:24" x14ac:dyDescent="0.25">
      <c r="A34" s="21">
        <v>42826</v>
      </c>
      <c r="B34" s="12">
        <f>'Quarterly Projections'!C5</f>
        <v>2977730.444202899</v>
      </c>
      <c r="C34" s="325">
        <f t="shared" ref="C34:C57" si="2">C33+B34</f>
        <v>8933191.3326086961</v>
      </c>
      <c r="D34" s="12">
        <f>'Actual Totals'!C5</f>
        <v>218770</v>
      </c>
      <c r="E34" s="12">
        <f t="shared" ref="E34:E57" si="3">E33+D34</f>
        <v>243472</v>
      </c>
    </row>
    <row r="35" spans="1:24" x14ac:dyDescent="0.25">
      <c r="A35" s="21">
        <v>42917</v>
      </c>
      <c r="B35" s="12">
        <f>'Quarterly Projections'!C6</f>
        <v>2977730.444202899</v>
      </c>
      <c r="C35" s="325">
        <f t="shared" si="2"/>
        <v>11910921.776811596</v>
      </c>
      <c r="D35" s="12">
        <f>'Actual Totals'!C6</f>
        <v>1194228</v>
      </c>
      <c r="E35" s="12">
        <f t="shared" si="3"/>
        <v>1437700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</row>
    <row r="36" spans="1:24" x14ac:dyDescent="0.25">
      <c r="A36" s="21">
        <v>43009</v>
      </c>
      <c r="B36" s="12">
        <f>'Quarterly Projections'!C7</f>
        <v>2977730.444202899</v>
      </c>
      <c r="C36" s="325">
        <f t="shared" si="2"/>
        <v>14888652.221014496</v>
      </c>
      <c r="D36" s="12">
        <f>'Actual Totals'!C7</f>
        <v>1666396</v>
      </c>
      <c r="E36" s="12">
        <f t="shared" si="3"/>
        <v>3104096</v>
      </c>
    </row>
    <row r="37" spans="1:24" x14ac:dyDescent="0.25">
      <c r="A37" s="21">
        <v>43101</v>
      </c>
      <c r="B37" s="12">
        <f>'Quarterly Projections'!C8</f>
        <v>2977730.444202899</v>
      </c>
      <c r="C37" s="325">
        <f t="shared" si="2"/>
        <v>17866382.665217396</v>
      </c>
      <c r="D37" s="12">
        <f>'Actual Totals'!C8</f>
        <v>2164402</v>
      </c>
      <c r="E37" s="12">
        <f t="shared" si="3"/>
        <v>5268498</v>
      </c>
    </row>
    <row r="38" spans="1:24" x14ac:dyDescent="0.25">
      <c r="A38" s="21">
        <v>43191</v>
      </c>
      <c r="B38" s="12">
        <f>'Quarterly Projections'!C9</f>
        <v>2977730.444202899</v>
      </c>
      <c r="C38" s="325">
        <f t="shared" si="2"/>
        <v>20844113.109420296</v>
      </c>
      <c r="D38" s="12">
        <f>'Actual Totals'!C9</f>
        <v>3498531</v>
      </c>
      <c r="E38" s="12">
        <f t="shared" si="3"/>
        <v>8767029</v>
      </c>
    </row>
    <row r="39" spans="1:24" x14ac:dyDescent="0.25">
      <c r="A39" s="21">
        <v>43282</v>
      </c>
      <c r="B39" s="12">
        <f>'Quarterly Projections'!C10</f>
        <v>2977730.444202899</v>
      </c>
      <c r="C39" s="325">
        <f t="shared" si="2"/>
        <v>23821843.553623196</v>
      </c>
      <c r="D39" s="12">
        <f>'Actual Totals'!C10</f>
        <v>2778053</v>
      </c>
      <c r="E39" s="12">
        <f t="shared" si="3"/>
        <v>11545082</v>
      </c>
    </row>
    <row r="40" spans="1:24" x14ac:dyDescent="0.25">
      <c r="A40" s="21">
        <v>43374</v>
      </c>
      <c r="B40" s="12">
        <f>'Quarterly Projections'!C11</f>
        <v>2977730.444202899</v>
      </c>
      <c r="C40" s="325">
        <f t="shared" si="2"/>
        <v>26799573.997826096</v>
      </c>
      <c r="D40" s="12">
        <f>'Actual Totals'!C11</f>
        <v>3710069</v>
      </c>
      <c r="E40" s="12">
        <f t="shared" si="3"/>
        <v>15255151</v>
      </c>
    </row>
    <row r="41" spans="1:24" x14ac:dyDescent="0.25">
      <c r="A41" s="21">
        <v>43466</v>
      </c>
      <c r="B41" s="12">
        <f>'Quarterly Projections'!C12</f>
        <v>2977730.444202899</v>
      </c>
      <c r="C41" s="325">
        <f t="shared" si="2"/>
        <v>29777304.442028996</v>
      </c>
      <c r="D41" s="12">
        <f>'Actual Totals'!C12</f>
        <v>2114102</v>
      </c>
      <c r="E41" s="12">
        <f t="shared" si="3"/>
        <v>17369253</v>
      </c>
    </row>
    <row r="42" spans="1:24" x14ac:dyDescent="0.25">
      <c r="A42" s="21">
        <v>43556</v>
      </c>
      <c r="B42" s="12">
        <f>'Quarterly Projections'!C13</f>
        <v>2977730.444202899</v>
      </c>
      <c r="C42" s="325">
        <f t="shared" si="2"/>
        <v>32755034.886231896</v>
      </c>
      <c r="D42" s="12">
        <f>'Actual Totals'!C13</f>
        <v>2305244</v>
      </c>
      <c r="E42" s="12">
        <f t="shared" si="3"/>
        <v>19674497</v>
      </c>
    </row>
    <row r="43" spans="1:24" x14ac:dyDescent="0.25">
      <c r="A43" s="21">
        <v>43647</v>
      </c>
      <c r="B43" s="12">
        <f>'Quarterly Projections'!C14</f>
        <v>2977730.444202899</v>
      </c>
      <c r="C43" s="325">
        <f t="shared" si="2"/>
        <v>35732765.330434792</v>
      </c>
      <c r="D43" s="12">
        <f>'Actual Totals'!C14</f>
        <v>2831446</v>
      </c>
      <c r="E43" s="12">
        <f t="shared" si="3"/>
        <v>22505943</v>
      </c>
    </row>
    <row r="44" spans="1:24" x14ac:dyDescent="0.25">
      <c r="A44" s="21">
        <v>43739</v>
      </c>
      <c r="B44" s="12">
        <f>'Quarterly Projections'!C15</f>
        <v>2977730.444202899</v>
      </c>
      <c r="C44" s="325">
        <f t="shared" si="2"/>
        <v>38710495.774637692</v>
      </c>
      <c r="D44" s="12">
        <f>'Actual Totals'!C15</f>
        <v>4269054</v>
      </c>
      <c r="E44" s="12">
        <f t="shared" si="3"/>
        <v>26774997</v>
      </c>
    </row>
    <row r="45" spans="1:24" x14ac:dyDescent="0.25">
      <c r="A45" s="21">
        <v>43831</v>
      </c>
      <c r="B45" s="12">
        <f>'Quarterly Projections'!C16</f>
        <v>2977730.444202899</v>
      </c>
      <c r="C45" s="325">
        <f t="shared" si="2"/>
        <v>41688226.218840592</v>
      </c>
      <c r="D45" s="12">
        <f>'Actual Totals'!C16</f>
        <v>4587842</v>
      </c>
      <c r="E45" s="12">
        <f t="shared" si="3"/>
        <v>31362839</v>
      </c>
    </row>
    <row r="46" spans="1:24" x14ac:dyDescent="0.25">
      <c r="A46" s="21">
        <v>43922</v>
      </c>
      <c r="B46" s="12">
        <f>'Quarterly Projections'!C17</f>
        <v>2977730.444202899</v>
      </c>
      <c r="C46" s="325">
        <f t="shared" si="2"/>
        <v>44665956.663043492</v>
      </c>
      <c r="D46" s="12">
        <f>'Actual Totals'!C17</f>
        <v>3481695</v>
      </c>
      <c r="E46" s="12">
        <f t="shared" si="3"/>
        <v>34844534</v>
      </c>
    </row>
    <row r="47" spans="1:24" x14ac:dyDescent="0.25">
      <c r="A47" s="21">
        <v>44013</v>
      </c>
      <c r="B47" s="12">
        <f>'Quarterly Projections'!C18</f>
        <v>2977730.444202899</v>
      </c>
      <c r="C47" s="325">
        <f t="shared" si="2"/>
        <v>47643687.107246391</v>
      </c>
      <c r="D47" s="12">
        <f>'Actual Totals'!C18</f>
        <v>2909306</v>
      </c>
      <c r="E47" s="12">
        <f t="shared" si="3"/>
        <v>37753840</v>
      </c>
    </row>
    <row r="48" spans="1:24" x14ac:dyDescent="0.25">
      <c r="A48" s="21">
        <v>44105</v>
      </c>
      <c r="B48" s="12">
        <f>'Quarterly Projections'!C19</f>
        <v>2977730.444202899</v>
      </c>
      <c r="C48" s="325">
        <f t="shared" si="2"/>
        <v>50621417.551449291</v>
      </c>
      <c r="D48" s="12">
        <f>'Actual Totals'!C19</f>
        <v>6197037</v>
      </c>
      <c r="E48" s="12">
        <f t="shared" si="3"/>
        <v>43950877</v>
      </c>
    </row>
    <row r="49" spans="1:6" x14ac:dyDescent="0.25">
      <c r="A49" s="21">
        <v>44197</v>
      </c>
      <c r="B49" s="12">
        <f>'Quarterly Projections'!C20</f>
        <v>2977730.444202899</v>
      </c>
      <c r="C49" s="325">
        <f t="shared" si="2"/>
        <v>53599147.995652191</v>
      </c>
      <c r="D49" s="12">
        <f>'Actual Totals'!C20</f>
        <v>7180138</v>
      </c>
      <c r="E49" s="12">
        <f t="shared" si="3"/>
        <v>51131015</v>
      </c>
    </row>
    <row r="50" spans="1:6" x14ac:dyDescent="0.25">
      <c r="A50" s="21">
        <v>44287</v>
      </c>
      <c r="B50" s="12">
        <f>'Quarterly Projections'!C21</f>
        <v>2977730.444202899</v>
      </c>
      <c r="C50" s="325">
        <f t="shared" si="2"/>
        <v>56576878.439855091</v>
      </c>
      <c r="D50" s="12">
        <f>'Actual Totals'!C21</f>
        <v>2096799</v>
      </c>
      <c r="E50" s="12">
        <f t="shared" si="3"/>
        <v>53227814</v>
      </c>
    </row>
    <row r="51" spans="1:6" x14ac:dyDescent="0.25">
      <c r="A51" s="21">
        <v>44378</v>
      </c>
      <c r="B51" s="12">
        <f>'Quarterly Projections'!C22</f>
        <v>2977730.444202899</v>
      </c>
      <c r="C51" s="325">
        <f t="shared" si="2"/>
        <v>59554608.884057991</v>
      </c>
      <c r="D51" s="12">
        <f>'Actual Totals'!C22</f>
        <v>2996910</v>
      </c>
      <c r="E51" s="12">
        <f t="shared" si="3"/>
        <v>56224724</v>
      </c>
    </row>
    <row r="52" spans="1:6" x14ac:dyDescent="0.25">
      <c r="A52" s="21">
        <v>44470</v>
      </c>
      <c r="B52" s="12">
        <f>'Quarterly Projections'!C23</f>
        <v>2885990.444202899</v>
      </c>
      <c r="C52" s="325">
        <f t="shared" si="2"/>
        <v>62440599.328260891</v>
      </c>
      <c r="D52" s="12">
        <f>'Actual Totals'!C23</f>
        <v>1585792</v>
      </c>
      <c r="E52" s="12">
        <f t="shared" si="3"/>
        <v>57810516</v>
      </c>
    </row>
    <row r="53" spans="1:6" x14ac:dyDescent="0.25">
      <c r="A53" s="21">
        <v>44562</v>
      </c>
      <c r="B53" s="12">
        <f>'Quarterly Projections'!C24</f>
        <v>2885990.444202899</v>
      </c>
      <c r="C53" s="325">
        <f t="shared" si="2"/>
        <v>65326589.772463791</v>
      </c>
      <c r="D53" s="12">
        <f>'Actual Totals'!C24</f>
        <v>4808988</v>
      </c>
      <c r="E53" s="12">
        <f t="shared" si="3"/>
        <v>62619504</v>
      </c>
    </row>
    <row r="54" spans="1:6" x14ac:dyDescent="0.25">
      <c r="A54" s="21">
        <v>44652</v>
      </c>
      <c r="B54" s="12">
        <f>'Quarterly Projections'!C25</f>
        <v>2885990.444202899</v>
      </c>
      <c r="C54" s="325">
        <f t="shared" si="2"/>
        <v>68212580.216666684</v>
      </c>
      <c r="D54" s="12">
        <f>'Actual Totals'!C25</f>
        <v>1648935</v>
      </c>
      <c r="E54" s="12">
        <f t="shared" si="3"/>
        <v>64268439</v>
      </c>
    </row>
    <row r="55" spans="1:6" x14ac:dyDescent="0.25">
      <c r="A55" s="21">
        <v>44743</v>
      </c>
      <c r="B55" s="12">
        <f>'Quarterly Projections'!C26</f>
        <v>1471246.1833333333</v>
      </c>
      <c r="C55" s="325">
        <f t="shared" si="2"/>
        <v>69683826.400000021</v>
      </c>
      <c r="D55" s="12">
        <f>'Actual Totals'!C26</f>
        <v>2300256</v>
      </c>
      <c r="E55" s="12">
        <f>E54+D55</f>
        <v>66568695</v>
      </c>
    </row>
    <row r="56" spans="1:6" x14ac:dyDescent="0.25">
      <c r="A56" s="21">
        <v>44835</v>
      </c>
      <c r="B56" s="12">
        <f>'Quarterly Projections'!C27</f>
        <v>617511.6</v>
      </c>
      <c r="C56" s="325">
        <f t="shared" si="2"/>
        <v>70301338.000000015</v>
      </c>
      <c r="D56" s="12">
        <f>'Actual Totals'!C27</f>
        <v>2383467</v>
      </c>
      <c r="E56" s="12">
        <f t="shared" si="3"/>
        <v>68952162</v>
      </c>
      <c r="F56" s="330" t="s">
        <v>19</v>
      </c>
    </row>
    <row r="57" spans="1:6" x14ac:dyDescent="0.25">
      <c r="A57" s="21">
        <v>44927</v>
      </c>
      <c r="B57" s="12">
        <f>'Quarterly Projections'!C28</f>
        <v>0</v>
      </c>
      <c r="C57" s="325">
        <f t="shared" si="2"/>
        <v>70301338.000000015</v>
      </c>
      <c r="D57" s="12">
        <f>'Actual Totals'!C28</f>
        <v>1434409</v>
      </c>
      <c r="E57" s="12">
        <f t="shared" si="3"/>
        <v>70386571</v>
      </c>
      <c r="F57" s="12">
        <f>C57-E57</f>
        <v>-85232.999999985099</v>
      </c>
    </row>
    <row r="60" spans="1:6" ht="30" x14ac:dyDescent="0.25">
      <c r="A60" s="23" t="s">
        <v>21</v>
      </c>
      <c r="B60" s="24" t="s">
        <v>15</v>
      </c>
      <c r="C60" s="24" t="s">
        <v>16</v>
      </c>
      <c r="D60" s="326" t="s">
        <v>17</v>
      </c>
      <c r="E60" s="24" t="s">
        <v>18</v>
      </c>
    </row>
    <row r="61" spans="1:6" x14ac:dyDescent="0.25">
      <c r="A61" s="21">
        <v>42644</v>
      </c>
      <c r="B61" s="12">
        <f>'Quarterly Projections'!D3+'Quarterly Projections'!E3</f>
        <v>614041.59745341609</v>
      </c>
      <c r="C61" s="12">
        <f>B61</f>
        <v>614041.59745341609</v>
      </c>
      <c r="D61" s="12">
        <f>'Actual Totals'!D3+'Actual Totals'!E3</f>
        <v>0</v>
      </c>
      <c r="E61" s="12">
        <f>'Financial Proj'!D61</f>
        <v>0</v>
      </c>
    </row>
    <row r="62" spans="1:6" x14ac:dyDescent="0.25">
      <c r="A62" s="21">
        <v>42736</v>
      </c>
      <c r="B62" s="12">
        <f>'Quarterly Projections'!D4+'Quarterly Projections'!E4</f>
        <v>614041.59745341609</v>
      </c>
      <c r="C62" s="325">
        <f>C61+B62</f>
        <v>1228083.1949068322</v>
      </c>
      <c r="D62" s="12">
        <f>'Actual Totals'!D4+'Actual Totals'!E4</f>
        <v>338833</v>
      </c>
      <c r="E62" s="12">
        <f>E61+D62</f>
        <v>338833</v>
      </c>
    </row>
    <row r="63" spans="1:6" x14ac:dyDescent="0.25">
      <c r="A63" s="21">
        <v>42826</v>
      </c>
      <c r="B63" s="12">
        <f>'Quarterly Projections'!D5+'Quarterly Projections'!E5</f>
        <v>614041.59745341609</v>
      </c>
      <c r="C63" s="325">
        <f t="shared" ref="C63:C86" si="4">C62+B63</f>
        <v>1842124.7923602483</v>
      </c>
      <c r="D63" s="12">
        <f>'Actual Totals'!D5+'Actual Totals'!E5</f>
        <v>1097622</v>
      </c>
      <c r="E63" s="12">
        <f t="shared" ref="E63:E86" si="5">E62+D63</f>
        <v>1436455</v>
      </c>
    </row>
    <row r="64" spans="1:6" x14ac:dyDescent="0.25">
      <c r="A64" s="21">
        <v>42917</v>
      </c>
      <c r="B64" s="12">
        <f>'Quarterly Projections'!D6+'Quarterly Projections'!E6</f>
        <v>614041.59745341609</v>
      </c>
      <c r="C64" s="325">
        <f t="shared" si="4"/>
        <v>2456166.3898136644</v>
      </c>
      <c r="D64" s="12">
        <f>'Actual Totals'!D6+'Actual Totals'!E6</f>
        <v>1181098</v>
      </c>
      <c r="E64" s="12">
        <f t="shared" si="5"/>
        <v>2617553</v>
      </c>
    </row>
    <row r="65" spans="1:5" x14ac:dyDescent="0.25">
      <c r="A65" s="21">
        <v>43009</v>
      </c>
      <c r="B65" s="12">
        <f>'Quarterly Projections'!D7+'Quarterly Projections'!E7</f>
        <v>614041.59745341609</v>
      </c>
      <c r="C65" s="325">
        <f t="shared" si="4"/>
        <v>3070207.9872670807</v>
      </c>
      <c r="D65" s="12">
        <f>'Actual Totals'!D7+'Actual Totals'!E7</f>
        <v>937667</v>
      </c>
      <c r="E65" s="12">
        <f t="shared" si="5"/>
        <v>3555220</v>
      </c>
    </row>
    <row r="66" spans="1:5" x14ac:dyDescent="0.25">
      <c r="A66" s="21">
        <v>43101</v>
      </c>
      <c r="B66" s="12">
        <f>'Quarterly Projections'!D8+'Quarterly Projections'!E8</f>
        <v>614041.59745341609</v>
      </c>
      <c r="C66" s="325">
        <f t="shared" si="4"/>
        <v>3684249.584720497</v>
      </c>
      <c r="D66" s="12">
        <f>'Actual Totals'!D8+'Actual Totals'!E8</f>
        <v>957223</v>
      </c>
      <c r="E66" s="12">
        <f t="shared" si="5"/>
        <v>4512443</v>
      </c>
    </row>
    <row r="67" spans="1:5" x14ac:dyDescent="0.25">
      <c r="A67" s="21">
        <v>43191</v>
      </c>
      <c r="B67" s="12">
        <f>'Quarterly Projections'!D9+'Quarterly Projections'!E9</f>
        <v>614041.59745341609</v>
      </c>
      <c r="C67" s="325">
        <f t="shared" si="4"/>
        <v>4298291.1821739133</v>
      </c>
      <c r="D67" s="12">
        <f>'Actual Totals'!D9+'Actual Totals'!E9</f>
        <v>1283832</v>
      </c>
      <c r="E67" s="12">
        <f t="shared" si="5"/>
        <v>5796275</v>
      </c>
    </row>
    <row r="68" spans="1:5" x14ac:dyDescent="0.25">
      <c r="A68" s="21">
        <v>43282</v>
      </c>
      <c r="B68" s="12">
        <f>'Quarterly Projections'!D10+'Quarterly Projections'!E10</f>
        <v>614041.59745341609</v>
      </c>
      <c r="C68" s="325">
        <f t="shared" si="4"/>
        <v>4912332.7796273297</v>
      </c>
      <c r="D68" s="12">
        <f>'Actual Totals'!D10+'Actual Totals'!E10</f>
        <v>949709</v>
      </c>
      <c r="E68" s="12">
        <f t="shared" si="5"/>
        <v>6745984</v>
      </c>
    </row>
    <row r="69" spans="1:5" x14ac:dyDescent="0.25">
      <c r="A69" s="21">
        <v>43374</v>
      </c>
      <c r="B69" s="12">
        <f>'Quarterly Projections'!D11+'Quarterly Projections'!E11</f>
        <v>614041.59745341609</v>
      </c>
      <c r="C69" s="325">
        <f t="shared" si="4"/>
        <v>5526374.377080746</v>
      </c>
      <c r="D69" s="12">
        <f>'Actual Totals'!D11+'Actual Totals'!E11</f>
        <v>839311</v>
      </c>
      <c r="E69" s="12">
        <f t="shared" si="5"/>
        <v>7585295</v>
      </c>
    </row>
    <row r="70" spans="1:5" x14ac:dyDescent="0.25">
      <c r="A70" s="21">
        <v>43466</v>
      </c>
      <c r="B70" s="12">
        <f>'Quarterly Projections'!D12+'Quarterly Projections'!E12</f>
        <v>614041.59745341609</v>
      </c>
      <c r="C70" s="325">
        <f t="shared" si="4"/>
        <v>6140415.9745341623</v>
      </c>
      <c r="D70" s="12">
        <f>'Actual Totals'!D12+'Actual Totals'!E12</f>
        <v>871914</v>
      </c>
      <c r="E70" s="12">
        <f t="shared" si="5"/>
        <v>8457209</v>
      </c>
    </row>
    <row r="71" spans="1:5" x14ac:dyDescent="0.25">
      <c r="A71" s="21">
        <v>43556</v>
      </c>
      <c r="B71" s="12">
        <f>'Quarterly Projections'!D13+'Quarterly Projections'!E13</f>
        <v>614041.59745341609</v>
      </c>
      <c r="C71" s="325">
        <f t="shared" si="4"/>
        <v>6754457.5719875786</v>
      </c>
      <c r="D71" s="12">
        <f>'Actual Totals'!D13+'Actual Totals'!E13</f>
        <v>792919</v>
      </c>
      <c r="E71" s="12">
        <f t="shared" si="5"/>
        <v>9250128</v>
      </c>
    </row>
    <row r="72" spans="1:5" x14ac:dyDescent="0.25">
      <c r="A72" s="21">
        <v>43647</v>
      </c>
      <c r="B72" s="12">
        <f>'Quarterly Projections'!D14+'Quarterly Projections'!E14</f>
        <v>614041.59745341609</v>
      </c>
      <c r="C72" s="325">
        <f t="shared" si="4"/>
        <v>7368499.169440995</v>
      </c>
      <c r="D72" s="12">
        <f>'Actual Totals'!D14+'Actual Totals'!E14</f>
        <v>544957</v>
      </c>
      <c r="E72" s="12">
        <f t="shared" si="5"/>
        <v>9795085</v>
      </c>
    </row>
    <row r="73" spans="1:5" x14ac:dyDescent="0.25">
      <c r="A73" s="21">
        <v>43739</v>
      </c>
      <c r="B73" s="12">
        <f>'Quarterly Projections'!D15+'Quarterly Projections'!E15</f>
        <v>614041.59745341609</v>
      </c>
      <c r="C73" s="325">
        <f t="shared" si="4"/>
        <v>7982540.7668944113</v>
      </c>
      <c r="D73" s="12">
        <f>'Actual Totals'!D15+'Actual Totals'!E15</f>
        <v>830528</v>
      </c>
      <c r="E73" s="12">
        <f t="shared" si="5"/>
        <v>10625613</v>
      </c>
    </row>
    <row r="74" spans="1:5" x14ac:dyDescent="0.25">
      <c r="A74" s="21">
        <v>43831</v>
      </c>
      <c r="B74" s="12">
        <f>'Quarterly Projections'!D16+'Quarterly Projections'!E16</f>
        <v>614041.59745341609</v>
      </c>
      <c r="C74" s="325">
        <f t="shared" si="4"/>
        <v>8596582.3643478267</v>
      </c>
      <c r="D74" s="12">
        <f>'Actual Totals'!D16+'Actual Totals'!E16</f>
        <v>532610</v>
      </c>
      <c r="E74" s="12">
        <f t="shared" si="5"/>
        <v>11158223</v>
      </c>
    </row>
    <row r="75" spans="1:5" x14ac:dyDescent="0.25">
      <c r="A75" s="21">
        <v>43922</v>
      </c>
      <c r="B75" s="12">
        <f>'Quarterly Projections'!D17+'Quarterly Projections'!E17</f>
        <v>614041.59745341609</v>
      </c>
      <c r="C75" s="325">
        <f t="shared" si="4"/>
        <v>9210623.9618012421</v>
      </c>
      <c r="D75" s="12">
        <f>'Actual Totals'!D17+'Actual Totals'!E17</f>
        <v>592154</v>
      </c>
      <c r="E75" s="12">
        <f t="shared" si="5"/>
        <v>11750377</v>
      </c>
    </row>
    <row r="76" spans="1:5" x14ac:dyDescent="0.25">
      <c r="A76" s="21">
        <v>44013</v>
      </c>
      <c r="B76" s="12">
        <f>'Quarterly Projections'!D18+'Quarterly Projections'!E18</f>
        <v>614041.59745341609</v>
      </c>
      <c r="C76" s="325">
        <f t="shared" si="4"/>
        <v>9824665.5592546575</v>
      </c>
      <c r="D76" s="12">
        <f>'Actual Totals'!D18+'Actual Totals'!E18</f>
        <v>233749</v>
      </c>
      <c r="E76" s="12">
        <f t="shared" si="5"/>
        <v>11984126</v>
      </c>
    </row>
    <row r="77" spans="1:5" x14ac:dyDescent="0.25">
      <c r="A77" s="21">
        <v>44105</v>
      </c>
      <c r="B77" s="12">
        <f>'Quarterly Projections'!D19+'Quarterly Projections'!E19</f>
        <v>614041.59745341609</v>
      </c>
      <c r="C77" s="325">
        <f t="shared" si="4"/>
        <v>10438707.156708073</v>
      </c>
      <c r="D77" s="12">
        <f>'Actual Totals'!D19+'Actual Totals'!E19</f>
        <v>342496</v>
      </c>
      <c r="E77" s="12">
        <f t="shared" si="5"/>
        <v>12326622</v>
      </c>
    </row>
    <row r="78" spans="1:5" x14ac:dyDescent="0.25">
      <c r="A78" s="21">
        <v>44197</v>
      </c>
      <c r="B78" s="12">
        <f>'Quarterly Projections'!D20+'Quarterly Projections'!E20</f>
        <v>614041.59745341609</v>
      </c>
      <c r="C78" s="325">
        <f t="shared" si="4"/>
        <v>11052748.754161488</v>
      </c>
      <c r="D78" s="12">
        <f>'Actual Totals'!D20+'Actual Totals'!E20</f>
        <v>711416</v>
      </c>
      <c r="E78" s="12">
        <f t="shared" si="5"/>
        <v>13038038</v>
      </c>
    </row>
    <row r="79" spans="1:5" x14ac:dyDescent="0.25">
      <c r="A79" s="21">
        <v>44287</v>
      </c>
      <c r="B79" s="12">
        <f>'Quarterly Projections'!D21+'Quarterly Projections'!E21</f>
        <v>614041.59745341609</v>
      </c>
      <c r="C79" s="325">
        <f t="shared" si="4"/>
        <v>11666790.351614904</v>
      </c>
      <c r="D79" s="12">
        <f>'Actual Totals'!D21+'Actual Totals'!E21</f>
        <v>327592</v>
      </c>
      <c r="E79" s="12">
        <f t="shared" si="5"/>
        <v>13365630</v>
      </c>
    </row>
    <row r="80" spans="1:5" x14ac:dyDescent="0.25">
      <c r="A80" s="21">
        <v>44378</v>
      </c>
      <c r="B80" s="12">
        <f>'Quarterly Projections'!D22+'Quarterly Projections'!E22</f>
        <v>614041.59745341609</v>
      </c>
      <c r="C80" s="325">
        <f t="shared" si="4"/>
        <v>12280831.949068319</v>
      </c>
      <c r="D80" s="12">
        <f>'Actual Totals'!D22+'Actual Totals'!E22</f>
        <v>448453</v>
      </c>
      <c r="E80" s="12">
        <f t="shared" si="5"/>
        <v>13814083</v>
      </c>
    </row>
    <row r="81" spans="1:6" x14ac:dyDescent="0.25">
      <c r="A81" s="21">
        <v>44470</v>
      </c>
      <c r="B81" s="12">
        <f>'Quarterly Projections'!D23+'Quarterly Projections'!E23</f>
        <v>612588.29745341616</v>
      </c>
      <c r="C81" s="325">
        <f t="shared" si="4"/>
        <v>12893420.246521736</v>
      </c>
      <c r="D81" s="12">
        <f>'Actual Totals'!D23+'Actual Totals'!E23</f>
        <v>153682</v>
      </c>
      <c r="E81" s="12">
        <f t="shared" si="5"/>
        <v>13967765</v>
      </c>
    </row>
    <row r="82" spans="1:6" x14ac:dyDescent="0.25">
      <c r="A82" s="21">
        <v>44562</v>
      </c>
      <c r="B82" s="12">
        <f>'Quarterly Projections'!D24+'Quarterly Projections'!E24</f>
        <v>601874.01173913048</v>
      </c>
      <c r="C82" s="325">
        <f t="shared" si="4"/>
        <v>13495294.258260867</v>
      </c>
      <c r="D82" s="12">
        <f>'Actual Totals'!D24+'Actual Totals'!E24</f>
        <v>312438</v>
      </c>
      <c r="E82" s="12">
        <f t="shared" si="5"/>
        <v>14280203</v>
      </c>
    </row>
    <row r="83" spans="1:6" x14ac:dyDescent="0.25">
      <c r="A83" s="21">
        <v>44652</v>
      </c>
      <c r="B83" s="12">
        <f>'Quarterly Projections'!D25+'Quarterly Projections'!E25</f>
        <v>601874.01173913036</v>
      </c>
      <c r="C83" s="325">
        <f t="shared" si="4"/>
        <v>14097168.269999998</v>
      </c>
      <c r="D83" s="12">
        <f>'Actual Totals'!D25+'Actual Totals'!E25</f>
        <v>112286</v>
      </c>
      <c r="E83" s="12">
        <f t="shared" si="5"/>
        <v>14392489</v>
      </c>
    </row>
    <row r="84" spans="1:6" x14ac:dyDescent="0.25">
      <c r="A84" s="21">
        <v>44743</v>
      </c>
      <c r="B84" s="12">
        <f>'Quarterly Projections'!D26+'Quarterly Projections'!E26</f>
        <v>540710.49</v>
      </c>
      <c r="C84" s="325">
        <f t="shared" si="4"/>
        <v>14637878.759999998</v>
      </c>
      <c r="D84" s="12">
        <f>'Actual Totals'!D26+'Actual Totals'!E26</f>
        <v>217346</v>
      </c>
      <c r="E84" s="12">
        <f t="shared" si="5"/>
        <v>14609835</v>
      </c>
    </row>
    <row r="85" spans="1:6" x14ac:dyDescent="0.25">
      <c r="A85" s="21">
        <v>44835</v>
      </c>
      <c r="B85" s="12">
        <f>'Quarterly Projections'!D27+'Quarterly Projections'!E27</f>
        <v>967825.24</v>
      </c>
      <c r="C85" s="325">
        <f t="shared" si="4"/>
        <v>15605703.999999998</v>
      </c>
      <c r="D85" s="12">
        <f>'Actual Totals'!D27+'Actual Totals'!E27</f>
        <v>256756.46000000002</v>
      </c>
      <c r="E85" s="12">
        <f t="shared" si="5"/>
        <v>14866591.460000001</v>
      </c>
      <c r="F85" s="330" t="s">
        <v>19</v>
      </c>
    </row>
    <row r="86" spans="1:6" x14ac:dyDescent="0.25">
      <c r="A86" s="21">
        <v>44927</v>
      </c>
      <c r="B86" s="12">
        <f>'Quarterly Projections'!D28+'Quarterly Projections'!E28</f>
        <v>0</v>
      </c>
      <c r="C86" s="325">
        <f t="shared" si="4"/>
        <v>15605703.999999998</v>
      </c>
      <c r="D86" s="12">
        <f>'Actual Totals'!D28+'Actual Totals'!E28</f>
        <v>154707.13</v>
      </c>
      <c r="E86" s="12">
        <f t="shared" si="5"/>
        <v>15021298.590000002</v>
      </c>
      <c r="F86" s="12">
        <f>C86-E86</f>
        <v>584405.40999999642</v>
      </c>
    </row>
    <row r="90" spans="1:6" ht="30" x14ac:dyDescent="0.25">
      <c r="A90" s="23" t="s">
        <v>142</v>
      </c>
      <c r="B90" s="24" t="s">
        <v>15</v>
      </c>
      <c r="C90" s="24" t="s">
        <v>16</v>
      </c>
      <c r="D90" s="326" t="s">
        <v>17</v>
      </c>
      <c r="E90" s="24" t="s">
        <v>18</v>
      </c>
    </row>
    <row r="91" spans="1:6" x14ac:dyDescent="0.25">
      <c r="A91" s="21">
        <v>42644</v>
      </c>
      <c r="B91" s="12">
        <f>'Quarterly Projections'!F3</f>
        <v>3944988.3460041415</v>
      </c>
      <c r="C91" s="12">
        <f>B91</f>
        <v>3944988.3460041415</v>
      </c>
      <c r="D91" s="12">
        <f>'Actual Totals'!F3</f>
        <v>0</v>
      </c>
      <c r="E91" s="12">
        <f>'Financial Proj'!D91</f>
        <v>0</v>
      </c>
    </row>
    <row r="92" spans="1:6" x14ac:dyDescent="0.25">
      <c r="A92" s="21">
        <v>42736</v>
      </c>
      <c r="B92" s="12">
        <f>'Quarterly Projections'!F4</f>
        <v>3944988.3460041415</v>
      </c>
      <c r="C92" s="325">
        <f>C91+B92</f>
        <v>7889976.692008283</v>
      </c>
      <c r="D92" s="12">
        <f>'Actual Totals'!F4</f>
        <v>363535</v>
      </c>
      <c r="E92" s="12">
        <f>E91+D92</f>
        <v>363535</v>
      </c>
    </row>
    <row r="93" spans="1:6" x14ac:dyDescent="0.25">
      <c r="A93" s="21">
        <v>42826</v>
      </c>
      <c r="B93" s="12">
        <f>'Quarterly Projections'!F5</f>
        <v>3944988.3460041415</v>
      </c>
      <c r="C93" s="325">
        <f t="shared" ref="C93:C115" si="6">C92+B93</f>
        <v>11834965.038012424</v>
      </c>
      <c r="D93" s="12">
        <f>'Actual Totals'!F5</f>
        <v>1316392</v>
      </c>
      <c r="E93" s="12">
        <f t="shared" ref="E93:E116" si="7">E92+D93</f>
        <v>1679927</v>
      </c>
    </row>
    <row r="94" spans="1:6" x14ac:dyDescent="0.25">
      <c r="A94" s="21">
        <v>42917</v>
      </c>
      <c r="B94" s="12">
        <f>'Quarterly Projections'!F6</f>
        <v>3944988.3460041415</v>
      </c>
      <c r="C94" s="325">
        <f t="shared" si="6"/>
        <v>15779953.384016566</v>
      </c>
      <c r="D94" s="12">
        <f>'Actual Totals'!F6</f>
        <v>2375326</v>
      </c>
      <c r="E94" s="12">
        <f t="shared" si="7"/>
        <v>4055253</v>
      </c>
    </row>
    <row r="95" spans="1:6" x14ac:dyDescent="0.25">
      <c r="A95" s="21">
        <v>43009</v>
      </c>
      <c r="B95" s="12">
        <f>'Quarterly Projections'!F7</f>
        <v>3944988.3460041415</v>
      </c>
      <c r="C95" s="325">
        <f t="shared" si="6"/>
        <v>19724941.730020709</v>
      </c>
      <c r="D95" s="12">
        <f>'Actual Totals'!F7</f>
        <v>2604063</v>
      </c>
      <c r="E95" s="12">
        <f t="shared" si="7"/>
        <v>6659316</v>
      </c>
    </row>
    <row r="96" spans="1:6" x14ac:dyDescent="0.25">
      <c r="A96" s="21">
        <v>43101</v>
      </c>
      <c r="B96" s="12">
        <f>'Quarterly Projections'!F8</f>
        <v>3944988.3460041415</v>
      </c>
      <c r="C96" s="325">
        <f t="shared" si="6"/>
        <v>23669930.076024853</v>
      </c>
      <c r="D96" s="12">
        <f>'Actual Totals'!F8</f>
        <v>3121625</v>
      </c>
      <c r="E96" s="12">
        <f t="shared" si="7"/>
        <v>9780941</v>
      </c>
    </row>
    <row r="97" spans="1:5" x14ac:dyDescent="0.25">
      <c r="A97" s="21">
        <v>43191</v>
      </c>
      <c r="B97" s="12">
        <f>'Quarterly Projections'!F9</f>
        <v>3944988.3460041415</v>
      </c>
      <c r="C97" s="325">
        <f t="shared" si="6"/>
        <v>27614918.422028996</v>
      </c>
      <c r="D97" s="12">
        <f>'Actual Totals'!F9</f>
        <v>5021869</v>
      </c>
      <c r="E97" s="12">
        <f t="shared" si="7"/>
        <v>14802810</v>
      </c>
    </row>
    <row r="98" spans="1:5" x14ac:dyDescent="0.25">
      <c r="A98" s="21">
        <v>43282</v>
      </c>
      <c r="B98" s="12">
        <f>'Quarterly Projections'!F10</f>
        <v>3944988.3460041415</v>
      </c>
      <c r="C98" s="325">
        <f t="shared" si="6"/>
        <v>31559906.768033139</v>
      </c>
      <c r="D98" s="12">
        <f>'Actual Totals'!F10</f>
        <v>3892906</v>
      </c>
      <c r="E98" s="12">
        <f t="shared" si="7"/>
        <v>18695716</v>
      </c>
    </row>
    <row r="99" spans="1:5" x14ac:dyDescent="0.25">
      <c r="A99" s="21">
        <v>43374</v>
      </c>
      <c r="B99" s="12">
        <f>'Quarterly Projections'!F11</f>
        <v>3944988.3460041415</v>
      </c>
      <c r="C99" s="325">
        <f t="shared" si="6"/>
        <v>35504895.114037283</v>
      </c>
      <c r="D99" s="12">
        <f>'Actual Totals'!F11</f>
        <v>5170594</v>
      </c>
      <c r="E99" s="12">
        <f t="shared" si="7"/>
        <v>23866310</v>
      </c>
    </row>
    <row r="100" spans="1:5" x14ac:dyDescent="0.25">
      <c r="A100" s="21">
        <v>43466</v>
      </c>
      <c r="B100" s="12">
        <f>'Quarterly Projections'!F12</f>
        <v>3944988.3460041415</v>
      </c>
      <c r="C100" s="325">
        <f t="shared" si="6"/>
        <v>39449883.460041426</v>
      </c>
      <c r="D100" s="12">
        <f>'Actual Totals'!F12</f>
        <v>2986016</v>
      </c>
      <c r="E100" s="12">
        <f t="shared" si="7"/>
        <v>26852326</v>
      </c>
    </row>
    <row r="101" spans="1:5" x14ac:dyDescent="0.25">
      <c r="A101" s="21">
        <v>43556</v>
      </c>
      <c r="B101" s="12">
        <f>'Quarterly Projections'!F13</f>
        <v>3944988.3460041415</v>
      </c>
      <c r="C101" s="325">
        <f t="shared" si="6"/>
        <v>43394871.806045569</v>
      </c>
      <c r="D101" s="12">
        <f>'Actual Totals'!F13</f>
        <v>3805616</v>
      </c>
      <c r="E101" s="12">
        <f t="shared" si="7"/>
        <v>30657942</v>
      </c>
    </row>
    <row r="102" spans="1:5" x14ac:dyDescent="0.25">
      <c r="A102" s="21">
        <v>43647</v>
      </c>
      <c r="B102" s="12">
        <f>'Quarterly Projections'!F14</f>
        <v>3944988.3460041415</v>
      </c>
      <c r="C102" s="325">
        <f t="shared" si="6"/>
        <v>47339860.152049713</v>
      </c>
      <c r="D102" s="12">
        <f>'Actual Totals'!F14</f>
        <v>3836736</v>
      </c>
      <c r="E102" s="12">
        <f t="shared" si="7"/>
        <v>34494678</v>
      </c>
    </row>
    <row r="103" spans="1:5" x14ac:dyDescent="0.25">
      <c r="A103" s="21">
        <v>43739</v>
      </c>
      <c r="B103" s="12">
        <f>'Quarterly Projections'!F15</f>
        <v>3944988.3460041415</v>
      </c>
      <c r="C103" s="325">
        <f t="shared" si="6"/>
        <v>51284848.498053856</v>
      </c>
      <c r="D103" s="12">
        <f>'Actual Totals'!F15</f>
        <v>6347184</v>
      </c>
      <c r="E103" s="12">
        <f t="shared" si="7"/>
        <v>40841862</v>
      </c>
    </row>
    <row r="104" spans="1:5" x14ac:dyDescent="0.25">
      <c r="A104" s="21">
        <v>43831</v>
      </c>
      <c r="B104" s="12">
        <f>'Quarterly Projections'!F16</f>
        <v>3944988.3460041415</v>
      </c>
      <c r="C104" s="325">
        <f t="shared" si="6"/>
        <v>55229836.844058</v>
      </c>
      <c r="D104" s="12">
        <f>'Actual Totals'!F16</f>
        <v>5784440</v>
      </c>
      <c r="E104" s="12">
        <f t="shared" si="7"/>
        <v>46626302</v>
      </c>
    </row>
    <row r="105" spans="1:5" x14ac:dyDescent="0.25">
      <c r="A105" s="21">
        <v>43922</v>
      </c>
      <c r="B105" s="12">
        <f>'Quarterly Projections'!F17</f>
        <v>3944988.3460041415</v>
      </c>
      <c r="C105" s="325">
        <f t="shared" si="6"/>
        <v>59174825.190062143</v>
      </c>
      <c r="D105" s="12">
        <f>'Actual Totals'!F17</f>
        <v>4581498</v>
      </c>
      <c r="E105" s="12">
        <f t="shared" si="7"/>
        <v>51207800</v>
      </c>
    </row>
    <row r="106" spans="1:5" x14ac:dyDescent="0.25">
      <c r="A106" s="21">
        <v>44013</v>
      </c>
      <c r="B106" s="12">
        <f>'Quarterly Projections'!F18</f>
        <v>3944988.3460041415</v>
      </c>
      <c r="C106" s="325">
        <f t="shared" si="6"/>
        <v>63119813.536066286</v>
      </c>
      <c r="D106" s="12">
        <f>'Actual Totals'!F18</f>
        <v>3143055</v>
      </c>
      <c r="E106" s="12">
        <f t="shared" si="7"/>
        <v>54350855</v>
      </c>
    </row>
    <row r="107" spans="1:5" x14ac:dyDescent="0.25">
      <c r="A107" s="21">
        <v>44105</v>
      </c>
      <c r="B107" s="12">
        <f>'Quarterly Projections'!F19</f>
        <v>3944988.3460041415</v>
      </c>
      <c r="C107" s="325">
        <f t="shared" si="6"/>
        <v>67064801.88207043</v>
      </c>
      <c r="D107" s="12">
        <f>'Actual Totals'!F19</f>
        <v>7090205</v>
      </c>
      <c r="E107" s="12">
        <f t="shared" si="7"/>
        <v>61441060</v>
      </c>
    </row>
    <row r="108" spans="1:5" x14ac:dyDescent="0.25">
      <c r="A108" s="21">
        <v>44197</v>
      </c>
      <c r="B108" s="12">
        <f>'Quarterly Projections'!F20</f>
        <v>3944988.3460041415</v>
      </c>
      <c r="C108" s="325">
        <f t="shared" si="6"/>
        <v>71009790.228074566</v>
      </c>
      <c r="D108" s="12">
        <f>'Actual Totals'!F20</f>
        <v>8344591</v>
      </c>
      <c r="E108" s="12">
        <f t="shared" si="7"/>
        <v>69785651</v>
      </c>
    </row>
    <row r="109" spans="1:5" x14ac:dyDescent="0.25">
      <c r="A109" s="21">
        <v>44287</v>
      </c>
      <c r="B109" s="12">
        <f>'Quarterly Projections'!F21</f>
        <v>3944988.3460041415</v>
      </c>
      <c r="C109" s="325">
        <f t="shared" si="6"/>
        <v>74954778.574078709</v>
      </c>
      <c r="D109" s="12">
        <f>'Actual Totals'!F21</f>
        <v>2651160</v>
      </c>
      <c r="E109" s="12">
        <f t="shared" si="7"/>
        <v>72436811</v>
      </c>
    </row>
    <row r="110" spans="1:5" x14ac:dyDescent="0.25">
      <c r="A110" s="21">
        <v>44378</v>
      </c>
      <c r="B110" s="12">
        <f>'Quarterly Projections'!F22</f>
        <v>3944988.3460041415</v>
      </c>
      <c r="C110" s="325">
        <f t="shared" si="6"/>
        <v>78899766.920082852</v>
      </c>
      <c r="D110" s="12">
        <f>'Actual Totals'!F22</f>
        <v>4344951</v>
      </c>
      <c r="E110" s="12">
        <f t="shared" si="7"/>
        <v>76781762</v>
      </c>
    </row>
    <row r="111" spans="1:5" x14ac:dyDescent="0.25">
      <c r="A111" s="21">
        <v>44470</v>
      </c>
      <c r="B111" s="12">
        <f>'Quarterly Projections'!F23</f>
        <v>3851795.0460041412</v>
      </c>
      <c r="C111" s="325">
        <f t="shared" si="6"/>
        <v>82751561.966086999</v>
      </c>
      <c r="D111" s="12">
        <f>'Actual Totals'!F23</f>
        <v>1739474</v>
      </c>
      <c r="E111" s="12">
        <f t="shared" si="7"/>
        <v>78521236</v>
      </c>
    </row>
    <row r="112" spans="1:5" x14ac:dyDescent="0.25">
      <c r="A112" s="21">
        <v>44562</v>
      </c>
      <c r="B112" s="12">
        <f>'Quarterly Projections'!F24</f>
        <v>3841080.7602898553</v>
      </c>
      <c r="C112" s="325">
        <f t="shared" si="6"/>
        <v>86592642.726376861</v>
      </c>
      <c r="D112" s="12">
        <f>'Actual Totals'!F24</f>
        <v>5707269</v>
      </c>
      <c r="E112" s="12">
        <f t="shared" si="7"/>
        <v>84228505</v>
      </c>
    </row>
    <row r="113" spans="1:6" x14ac:dyDescent="0.25">
      <c r="A113" s="21">
        <v>44652</v>
      </c>
      <c r="B113" s="12">
        <f>'Quarterly Projections'!F25</f>
        <v>3841080.7602898553</v>
      </c>
      <c r="C113" s="325">
        <f t="shared" si="6"/>
        <v>90433723.486666709</v>
      </c>
      <c r="D113" s="12">
        <f>'Actual Totals'!F25</f>
        <v>1919153</v>
      </c>
      <c r="E113" s="12">
        <f t="shared" si="7"/>
        <v>86147658</v>
      </c>
    </row>
    <row r="114" spans="1:6" x14ac:dyDescent="0.25">
      <c r="A114" s="21">
        <v>44743</v>
      </c>
      <c r="B114" s="12">
        <f>'Quarterly Projections'!F26</f>
        <v>2011956.6733333333</v>
      </c>
      <c r="C114" s="325">
        <f t="shared" si="6"/>
        <v>92445680.160000041</v>
      </c>
      <c r="D114" s="12">
        <f>'Actual Totals'!F26</f>
        <v>3154847</v>
      </c>
      <c r="E114" s="12">
        <f t="shared" si="7"/>
        <v>89302505</v>
      </c>
    </row>
    <row r="115" spans="1:6" x14ac:dyDescent="0.25">
      <c r="A115" s="21">
        <v>44835</v>
      </c>
      <c r="B115" s="12">
        <f>'Quarterly Projections'!F27</f>
        <v>1585336.84</v>
      </c>
      <c r="C115" s="325">
        <f t="shared" si="6"/>
        <v>94031017.000000045</v>
      </c>
      <c r="D115" s="12">
        <f>'Actual Totals'!F27</f>
        <v>2640223.46</v>
      </c>
      <c r="E115" s="12">
        <f t="shared" si="7"/>
        <v>91942728.459999993</v>
      </c>
      <c r="F115" s="330" t="s">
        <v>19</v>
      </c>
    </row>
    <row r="116" spans="1:6" x14ac:dyDescent="0.25">
      <c r="A116" s="21">
        <v>44927</v>
      </c>
      <c r="B116" s="12">
        <f>'Quarterly Projections'!F28</f>
        <v>0</v>
      </c>
      <c r="C116" s="325">
        <f>C115+B116</f>
        <v>94031017.000000045</v>
      </c>
      <c r="D116" s="12">
        <f>'Actual Totals'!F28</f>
        <v>1589116.13</v>
      </c>
      <c r="E116" s="12">
        <f t="shared" si="7"/>
        <v>93531844.589999989</v>
      </c>
      <c r="F116" s="12">
        <f>C116-E116</f>
        <v>499172.41000005603</v>
      </c>
    </row>
  </sheetData>
  <phoneticPr fontId="8" type="noConversion"/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97799-7482-4B17-9114-146DA982E19B}">
  <dimension ref="A1:J32"/>
  <sheetViews>
    <sheetView zoomScale="80" zoomScaleNormal="80" workbookViewId="0">
      <selection activeCell="J29" sqref="J29"/>
    </sheetView>
  </sheetViews>
  <sheetFormatPr defaultRowHeight="15" x14ac:dyDescent="0.25"/>
  <cols>
    <col min="2" max="2" width="7.42578125" bestFit="1" customWidth="1"/>
    <col min="3" max="3" width="10.5703125" bestFit="1" customWidth="1"/>
    <col min="4" max="4" width="11.5703125" bestFit="1" customWidth="1"/>
    <col min="5" max="5" width="10" bestFit="1" customWidth="1"/>
    <col min="6" max="6" width="11" bestFit="1" customWidth="1"/>
    <col min="7" max="7" width="9.5703125" bestFit="1" customWidth="1"/>
    <col min="8" max="8" width="10.7109375" bestFit="1" customWidth="1"/>
    <col min="9" max="9" width="14.42578125" customWidth="1"/>
    <col min="10" max="10" width="14.140625" customWidth="1"/>
  </cols>
  <sheetData>
    <row r="1" spans="1:10" ht="15.75" thickBot="1" x14ac:dyDescent="0.3">
      <c r="A1" s="446" t="s">
        <v>139</v>
      </c>
      <c r="B1" s="446"/>
      <c r="C1" s="446"/>
      <c r="D1" s="446"/>
      <c r="E1" s="440"/>
      <c r="F1" s="440"/>
      <c r="G1" s="440"/>
      <c r="H1" s="440"/>
      <c r="I1" s="339"/>
      <c r="J1" s="339"/>
    </row>
    <row r="2" spans="1:10" ht="15.75" thickTop="1" x14ac:dyDescent="0.25">
      <c r="A2" s="441" t="s">
        <v>30</v>
      </c>
      <c r="B2" s="441"/>
      <c r="C2" s="441"/>
      <c r="D2" s="442"/>
      <c r="E2" s="443" t="s">
        <v>131</v>
      </c>
      <c r="F2" s="444"/>
      <c r="G2" s="444"/>
      <c r="H2" s="445"/>
      <c r="I2" s="340"/>
      <c r="J2" s="340"/>
    </row>
    <row r="3" spans="1:10" ht="47.25" x14ac:dyDescent="0.25">
      <c r="A3" s="201" t="s">
        <v>46</v>
      </c>
      <c r="B3" s="201" t="s">
        <v>47</v>
      </c>
      <c r="C3" s="201" t="s">
        <v>39</v>
      </c>
      <c r="D3" s="205" t="s">
        <v>40</v>
      </c>
      <c r="E3" s="209" t="s">
        <v>75</v>
      </c>
      <c r="F3" s="182" t="s">
        <v>114</v>
      </c>
      <c r="G3" s="182" t="s">
        <v>115</v>
      </c>
      <c r="H3" s="210" t="s">
        <v>133</v>
      </c>
      <c r="I3" s="343" t="s">
        <v>134</v>
      </c>
      <c r="J3" s="341" t="s">
        <v>135</v>
      </c>
    </row>
    <row r="4" spans="1:10" x14ac:dyDescent="0.25">
      <c r="A4" s="201">
        <v>1</v>
      </c>
      <c r="B4" s="201">
        <v>1</v>
      </c>
      <c r="C4" s="202">
        <v>42644</v>
      </c>
      <c r="D4" s="206">
        <v>42735</v>
      </c>
      <c r="E4" s="211">
        <v>17550</v>
      </c>
      <c r="F4" s="200">
        <f>SUM(0+ E4)</f>
        <v>17550</v>
      </c>
      <c r="G4" s="200">
        <v>0</v>
      </c>
      <c r="H4" s="212">
        <f>G4</f>
        <v>0</v>
      </c>
      <c r="I4" s="344">
        <v>0</v>
      </c>
      <c r="J4" s="342">
        <v>1</v>
      </c>
    </row>
    <row r="5" spans="1:10" x14ac:dyDescent="0.25">
      <c r="A5" s="201">
        <v>1</v>
      </c>
      <c r="B5" s="201">
        <v>2</v>
      </c>
      <c r="C5" s="202">
        <v>42736</v>
      </c>
      <c r="D5" s="206">
        <v>42825</v>
      </c>
      <c r="E5" s="211">
        <v>17550</v>
      </c>
      <c r="F5" s="200">
        <f>SUM(F4+E5)</f>
        <v>35100</v>
      </c>
      <c r="G5" s="200">
        <v>20488</v>
      </c>
      <c r="H5" s="212">
        <f t="shared" ref="H5:H23" si="0">SUM(H4+G5)</f>
        <v>20488</v>
      </c>
      <c r="I5" s="344">
        <v>0</v>
      </c>
      <c r="J5" s="342">
        <v>1</v>
      </c>
    </row>
    <row r="6" spans="1:10" x14ac:dyDescent="0.25">
      <c r="A6" s="201">
        <v>1</v>
      </c>
      <c r="B6" s="201">
        <v>3</v>
      </c>
      <c r="C6" s="202">
        <v>42826</v>
      </c>
      <c r="D6" s="206">
        <v>42916</v>
      </c>
      <c r="E6" s="211">
        <v>17550</v>
      </c>
      <c r="F6" s="200">
        <f t="shared" ref="F6:F23" si="1">SUM(F5+E6)</f>
        <v>52650</v>
      </c>
      <c r="G6" s="200">
        <v>8973</v>
      </c>
      <c r="H6" s="212">
        <f t="shared" si="0"/>
        <v>29461</v>
      </c>
      <c r="I6" s="344">
        <v>0</v>
      </c>
      <c r="J6" s="342">
        <v>1</v>
      </c>
    </row>
    <row r="7" spans="1:10" x14ac:dyDescent="0.25">
      <c r="A7" s="201">
        <v>1</v>
      </c>
      <c r="B7" s="201">
        <v>4</v>
      </c>
      <c r="C7" s="202">
        <v>42917</v>
      </c>
      <c r="D7" s="206">
        <v>43008</v>
      </c>
      <c r="E7" s="211">
        <v>17550</v>
      </c>
      <c r="F7" s="200">
        <f t="shared" si="1"/>
        <v>70200</v>
      </c>
      <c r="G7" s="200">
        <v>0</v>
      </c>
      <c r="H7" s="212">
        <f t="shared" si="0"/>
        <v>29461</v>
      </c>
      <c r="I7" s="344">
        <v>0</v>
      </c>
      <c r="J7" s="342">
        <v>1</v>
      </c>
    </row>
    <row r="8" spans="1:10" x14ac:dyDescent="0.25">
      <c r="A8" s="201">
        <v>2</v>
      </c>
      <c r="B8" s="201">
        <v>1</v>
      </c>
      <c r="C8" s="202">
        <v>43009</v>
      </c>
      <c r="D8" s="206">
        <v>43100</v>
      </c>
      <c r="E8" s="211">
        <v>17550</v>
      </c>
      <c r="F8" s="200">
        <f t="shared" si="1"/>
        <v>87750</v>
      </c>
      <c r="G8" s="200">
        <v>29806</v>
      </c>
      <c r="H8" s="212">
        <f t="shared" si="0"/>
        <v>59267</v>
      </c>
      <c r="I8" s="344">
        <v>0</v>
      </c>
      <c r="J8" s="342">
        <v>1</v>
      </c>
    </row>
    <row r="9" spans="1:10" x14ac:dyDescent="0.25">
      <c r="A9" s="201">
        <v>2</v>
      </c>
      <c r="B9" s="201">
        <v>2</v>
      </c>
      <c r="C9" s="202">
        <v>43101</v>
      </c>
      <c r="D9" s="206">
        <v>43190</v>
      </c>
      <c r="E9" s="211">
        <v>17550</v>
      </c>
      <c r="F9" s="200">
        <f t="shared" si="1"/>
        <v>105300</v>
      </c>
      <c r="G9" s="200">
        <v>17671</v>
      </c>
      <c r="H9" s="212">
        <f t="shared" si="0"/>
        <v>76938</v>
      </c>
      <c r="I9" s="344">
        <v>0</v>
      </c>
      <c r="J9" s="342">
        <v>1</v>
      </c>
    </row>
    <row r="10" spans="1:10" x14ac:dyDescent="0.25">
      <c r="A10" s="201">
        <v>2</v>
      </c>
      <c r="B10" s="201">
        <v>3</v>
      </c>
      <c r="C10" s="202">
        <v>43191</v>
      </c>
      <c r="D10" s="206">
        <v>43281</v>
      </c>
      <c r="E10" s="211">
        <v>17550</v>
      </c>
      <c r="F10" s="200">
        <f t="shared" si="1"/>
        <v>122850</v>
      </c>
      <c r="G10" s="200">
        <v>28060</v>
      </c>
      <c r="H10" s="212">
        <f t="shared" si="0"/>
        <v>104998</v>
      </c>
      <c r="I10" s="344">
        <v>0</v>
      </c>
      <c r="J10" s="342">
        <v>1</v>
      </c>
    </row>
    <row r="11" spans="1:10" x14ac:dyDescent="0.25">
      <c r="A11" s="201">
        <v>2</v>
      </c>
      <c r="B11" s="201">
        <v>4</v>
      </c>
      <c r="C11" s="202">
        <v>43282</v>
      </c>
      <c r="D11" s="206">
        <v>43373</v>
      </c>
      <c r="E11" s="211">
        <v>17550</v>
      </c>
      <c r="F11" s="200">
        <f t="shared" si="1"/>
        <v>140400</v>
      </c>
      <c r="G11" s="200">
        <v>21451</v>
      </c>
      <c r="H11" s="212">
        <f t="shared" si="0"/>
        <v>126449</v>
      </c>
      <c r="I11" s="344">
        <v>0</v>
      </c>
      <c r="J11" s="342">
        <v>17</v>
      </c>
    </row>
    <row r="12" spans="1:10" x14ac:dyDescent="0.25">
      <c r="A12" s="201">
        <v>3</v>
      </c>
      <c r="B12" s="201">
        <v>1</v>
      </c>
      <c r="C12" s="202">
        <v>43374</v>
      </c>
      <c r="D12" s="206">
        <v>43465</v>
      </c>
      <c r="E12" s="211">
        <v>17550</v>
      </c>
      <c r="F12" s="200">
        <f t="shared" si="1"/>
        <v>157950</v>
      </c>
      <c r="G12" s="200">
        <v>25689</v>
      </c>
      <c r="H12" s="212">
        <f t="shared" si="0"/>
        <v>152138</v>
      </c>
      <c r="I12" s="344">
        <v>0</v>
      </c>
      <c r="J12" s="342">
        <v>1</v>
      </c>
    </row>
    <row r="13" spans="1:10" x14ac:dyDescent="0.25">
      <c r="A13" s="201">
        <v>3</v>
      </c>
      <c r="B13" s="201">
        <v>2</v>
      </c>
      <c r="C13" s="202">
        <v>43466</v>
      </c>
      <c r="D13" s="206">
        <v>43555</v>
      </c>
      <c r="E13" s="211">
        <v>17550</v>
      </c>
      <c r="F13" s="200">
        <f t="shared" si="1"/>
        <v>175500</v>
      </c>
      <c r="G13" s="200">
        <v>24790</v>
      </c>
      <c r="H13" s="212">
        <f t="shared" si="0"/>
        <v>176928</v>
      </c>
      <c r="I13" s="344">
        <v>0</v>
      </c>
      <c r="J13" s="342">
        <v>2</v>
      </c>
    </row>
    <row r="14" spans="1:10" x14ac:dyDescent="0.25">
      <c r="A14" s="201">
        <v>3</v>
      </c>
      <c r="B14" s="201">
        <v>3</v>
      </c>
      <c r="C14" s="202">
        <v>43556</v>
      </c>
      <c r="D14" s="206">
        <v>43646</v>
      </c>
      <c r="E14" s="211">
        <v>17550</v>
      </c>
      <c r="F14" s="200">
        <f t="shared" si="1"/>
        <v>193050</v>
      </c>
      <c r="G14" s="200">
        <v>30201</v>
      </c>
      <c r="H14" s="212">
        <f t="shared" si="0"/>
        <v>207129</v>
      </c>
      <c r="I14" s="344">
        <v>0</v>
      </c>
      <c r="J14" s="342">
        <v>1</v>
      </c>
    </row>
    <row r="15" spans="1:10" x14ac:dyDescent="0.25">
      <c r="A15" s="201">
        <v>3</v>
      </c>
      <c r="B15" s="201">
        <v>4</v>
      </c>
      <c r="C15" s="202">
        <v>43647</v>
      </c>
      <c r="D15" s="206">
        <v>43738</v>
      </c>
      <c r="E15" s="211">
        <v>17550</v>
      </c>
      <c r="F15" s="200">
        <f t="shared" si="1"/>
        <v>210600</v>
      </c>
      <c r="G15" s="200">
        <v>12915</v>
      </c>
      <c r="H15" s="212">
        <f t="shared" si="0"/>
        <v>220044</v>
      </c>
      <c r="I15" s="344">
        <v>0</v>
      </c>
      <c r="J15" s="342">
        <v>1</v>
      </c>
    </row>
    <row r="16" spans="1:10" x14ac:dyDescent="0.25">
      <c r="A16" s="201">
        <v>4</v>
      </c>
      <c r="B16" s="201">
        <v>1</v>
      </c>
      <c r="C16" s="202">
        <v>43739</v>
      </c>
      <c r="D16" s="206">
        <v>43830</v>
      </c>
      <c r="E16" s="211">
        <v>17550</v>
      </c>
      <c r="F16" s="200">
        <f t="shared" si="1"/>
        <v>228150</v>
      </c>
      <c r="G16" s="200">
        <v>43059</v>
      </c>
      <c r="H16" s="212">
        <f t="shared" si="0"/>
        <v>263103</v>
      </c>
      <c r="I16" s="344">
        <v>0</v>
      </c>
      <c r="J16" s="342">
        <v>1</v>
      </c>
    </row>
    <row r="17" spans="1:10" x14ac:dyDescent="0.25">
      <c r="A17" s="201">
        <v>4</v>
      </c>
      <c r="B17" s="201">
        <v>2</v>
      </c>
      <c r="C17" s="202">
        <v>43831</v>
      </c>
      <c r="D17" s="206">
        <v>43921</v>
      </c>
      <c r="E17" s="211">
        <v>17550</v>
      </c>
      <c r="F17" s="200">
        <f t="shared" si="1"/>
        <v>245700</v>
      </c>
      <c r="G17" s="200">
        <v>20389</v>
      </c>
      <c r="H17" s="212">
        <f t="shared" si="0"/>
        <v>283492</v>
      </c>
      <c r="I17" s="344">
        <v>0</v>
      </c>
      <c r="J17" s="342">
        <v>1</v>
      </c>
    </row>
    <row r="18" spans="1:10" x14ac:dyDescent="0.25">
      <c r="A18" s="201">
        <v>4</v>
      </c>
      <c r="B18" s="201">
        <v>3</v>
      </c>
      <c r="C18" s="202">
        <v>43922</v>
      </c>
      <c r="D18" s="206">
        <v>44012</v>
      </c>
      <c r="E18" s="211">
        <v>17550</v>
      </c>
      <c r="F18" s="200">
        <f t="shared" si="1"/>
        <v>263250</v>
      </c>
      <c r="G18" s="200">
        <v>13598</v>
      </c>
      <c r="H18" s="212">
        <f t="shared" si="0"/>
        <v>297090</v>
      </c>
      <c r="I18" s="344">
        <v>0</v>
      </c>
      <c r="J18" s="342">
        <v>1</v>
      </c>
    </row>
    <row r="19" spans="1:10" x14ac:dyDescent="0.25">
      <c r="A19" s="201">
        <v>4</v>
      </c>
      <c r="B19" s="201">
        <v>4</v>
      </c>
      <c r="C19" s="202">
        <v>44013</v>
      </c>
      <c r="D19" s="206">
        <v>44104</v>
      </c>
      <c r="E19" s="211">
        <v>17550</v>
      </c>
      <c r="F19" s="200">
        <f t="shared" si="1"/>
        <v>280800</v>
      </c>
      <c r="G19" s="200">
        <v>9899</v>
      </c>
      <c r="H19" s="212">
        <f t="shared" si="0"/>
        <v>306989</v>
      </c>
      <c r="I19" s="344">
        <v>0</v>
      </c>
      <c r="J19" s="342">
        <v>1</v>
      </c>
    </row>
    <row r="20" spans="1:10" x14ac:dyDescent="0.25">
      <c r="A20" s="201">
        <v>5</v>
      </c>
      <c r="B20" s="201">
        <v>1</v>
      </c>
      <c r="C20" s="202">
        <v>44105</v>
      </c>
      <c r="D20" s="206">
        <v>44196</v>
      </c>
      <c r="E20" s="211">
        <v>17550</v>
      </c>
      <c r="F20" s="200">
        <f t="shared" si="1"/>
        <v>298350</v>
      </c>
      <c r="G20" s="200">
        <v>24756</v>
      </c>
      <c r="H20" s="212">
        <f t="shared" si="0"/>
        <v>331745</v>
      </c>
      <c r="I20" s="344">
        <v>0</v>
      </c>
      <c r="J20" s="342">
        <v>1</v>
      </c>
    </row>
    <row r="21" spans="1:10" x14ac:dyDescent="0.25">
      <c r="A21" s="201">
        <v>5</v>
      </c>
      <c r="B21" s="201">
        <v>2</v>
      </c>
      <c r="C21" s="202">
        <v>44197</v>
      </c>
      <c r="D21" s="206">
        <v>44286</v>
      </c>
      <c r="E21" s="211">
        <v>17550</v>
      </c>
      <c r="F21" s="200">
        <f t="shared" si="1"/>
        <v>315900</v>
      </c>
      <c r="G21" s="200">
        <v>36844</v>
      </c>
      <c r="H21" s="212">
        <f t="shared" si="0"/>
        <v>368589</v>
      </c>
      <c r="I21" s="344">
        <v>34</v>
      </c>
      <c r="J21" s="342">
        <v>1</v>
      </c>
    </row>
    <row r="22" spans="1:10" ht="30" customHeight="1" x14ac:dyDescent="0.25">
      <c r="A22" s="201">
        <v>5</v>
      </c>
      <c r="B22" s="201">
        <v>3</v>
      </c>
      <c r="C22" s="202">
        <v>44287</v>
      </c>
      <c r="D22" s="206">
        <v>44377</v>
      </c>
      <c r="E22" s="211">
        <v>17550</v>
      </c>
      <c r="F22" s="200">
        <f t="shared" si="1"/>
        <v>333450</v>
      </c>
      <c r="G22" s="200">
        <v>12575</v>
      </c>
      <c r="H22" s="212">
        <f t="shared" si="0"/>
        <v>381164</v>
      </c>
      <c r="I22" s="344">
        <v>1</v>
      </c>
      <c r="J22" s="342">
        <v>1</v>
      </c>
    </row>
    <row r="23" spans="1:10" x14ac:dyDescent="0.25">
      <c r="A23" s="201">
        <v>5</v>
      </c>
      <c r="B23" s="201">
        <v>4</v>
      </c>
      <c r="C23" s="202">
        <v>44378</v>
      </c>
      <c r="D23" s="206">
        <v>44469</v>
      </c>
      <c r="E23" s="211">
        <v>17550</v>
      </c>
      <c r="F23" s="200">
        <f t="shared" si="1"/>
        <v>351000</v>
      </c>
      <c r="G23" s="200">
        <v>1667</v>
      </c>
      <c r="H23" s="212">
        <f t="shared" si="0"/>
        <v>382831</v>
      </c>
      <c r="I23" s="344">
        <v>1</v>
      </c>
      <c r="J23" s="342">
        <v>0</v>
      </c>
    </row>
    <row r="24" spans="1:10" x14ac:dyDescent="0.25">
      <c r="A24" s="201">
        <v>6</v>
      </c>
      <c r="B24" s="201">
        <v>1</v>
      </c>
      <c r="C24" s="202">
        <v>44470</v>
      </c>
      <c r="D24" s="206">
        <v>44561</v>
      </c>
      <c r="E24" s="211">
        <v>17550</v>
      </c>
      <c r="F24" s="200">
        <f>SUM(F23+E24)</f>
        <v>368550</v>
      </c>
      <c r="G24" s="200">
        <v>6240</v>
      </c>
      <c r="H24" s="212">
        <f t="shared" ref="H24:H29" si="2">SUM(H23+G24)</f>
        <v>389071</v>
      </c>
      <c r="I24" s="344">
        <v>0</v>
      </c>
      <c r="J24" s="342">
        <v>0</v>
      </c>
    </row>
    <row r="25" spans="1:10" x14ac:dyDescent="0.25">
      <c r="A25" s="201">
        <v>6</v>
      </c>
      <c r="B25" s="201">
        <v>2</v>
      </c>
      <c r="C25" s="202">
        <v>44562</v>
      </c>
      <c r="D25" s="206">
        <v>44651</v>
      </c>
      <c r="E25" s="211">
        <v>17550</v>
      </c>
      <c r="F25" s="200">
        <f>SUM(F24+E25)</f>
        <v>386100</v>
      </c>
      <c r="G25" s="200">
        <v>9643</v>
      </c>
      <c r="H25" s="212">
        <f t="shared" si="2"/>
        <v>398714</v>
      </c>
      <c r="I25" s="344">
        <v>0</v>
      </c>
      <c r="J25" s="342">
        <v>0</v>
      </c>
    </row>
    <row r="26" spans="1:10" x14ac:dyDescent="0.25">
      <c r="A26" s="201">
        <v>6</v>
      </c>
      <c r="B26" s="201">
        <v>3</v>
      </c>
      <c r="C26" s="202">
        <v>44652</v>
      </c>
      <c r="D26" s="206">
        <v>44742</v>
      </c>
      <c r="E26" s="211">
        <v>17550</v>
      </c>
      <c r="F26" s="200">
        <f>SUM(F25+E26)</f>
        <v>403650</v>
      </c>
      <c r="G26" s="200">
        <v>7537</v>
      </c>
      <c r="H26" s="212">
        <f t="shared" si="2"/>
        <v>406251</v>
      </c>
      <c r="I26" s="344">
        <v>0</v>
      </c>
      <c r="J26" s="342">
        <v>0</v>
      </c>
    </row>
    <row r="27" spans="1:10" x14ac:dyDescent="0.25">
      <c r="A27" s="201">
        <v>6</v>
      </c>
      <c r="B27" s="201">
        <v>4</v>
      </c>
      <c r="C27" s="203">
        <v>44743</v>
      </c>
      <c r="D27" s="207">
        <v>44834</v>
      </c>
      <c r="E27" s="211">
        <v>17550</v>
      </c>
      <c r="F27" s="200">
        <f>SUM(F26+E27)</f>
        <v>421200</v>
      </c>
      <c r="G27" s="200">
        <v>7791</v>
      </c>
      <c r="H27" s="212">
        <f t="shared" si="2"/>
        <v>414042</v>
      </c>
      <c r="I27" s="344">
        <v>0</v>
      </c>
      <c r="J27" s="342">
        <v>0</v>
      </c>
    </row>
    <row r="28" spans="1:10" x14ac:dyDescent="0.25">
      <c r="A28" s="201">
        <v>7</v>
      </c>
      <c r="B28" s="201">
        <v>1</v>
      </c>
      <c r="C28" s="203">
        <v>44835</v>
      </c>
      <c r="D28" s="207">
        <v>44926</v>
      </c>
      <c r="E28" s="211">
        <v>17550</v>
      </c>
      <c r="F28" s="200">
        <f>SUM(F27+E28)</f>
        <v>438750</v>
      </c>
      <c r="G28" s="200">
        <f>5120+3597+5671+4557</f>
        <v>18945</v>
      </c>
      <c r="H28" s="212">
        <f t="shared" si="2"/>
        <v>432987</v>
      </c>
      <c r="I28" s="344">
        <v>1</v>
      </c>
      <c r="J28" s="342">
        <v>1</v>
      </c>
    </row>
    <row r="29" spans="1:10" x14ac:dyDescent="0.25">
      <c r="A29" s="201">
        <v>7</v>
      </c>
      <c r="B29" s="201">
        <v>2</v>
      </c>
      <c r="C29" s="203">
        <v>44927</v>
      </c>
      <c r="D29" s="207">
        <v>45016</v>
      </c>
      <c r="E29" s="316"/>
      <c r="F29" s="317"/>
      <c r="G29" s="317">
        <f>4592+1102.14</f>
        <v>5694.14</v>
      </c>
      <c r="H29" s="212">
        <f t="shared" si="2"/>
        <v>438681.14</v>
      </c>
      <c r="I29" s="345">
        <f>SUM(I4:I28)</f>
        <v>37</v>
      </c>
      <c r="J29" s="345">
        <f>SUM(J4:J28)</f>
        <v>37</v>
      </c>
    </row>
    <row r="30" spans="1:10" ht="15.75" thickBot="1" x14ac:dyDescent="0.3">
      <c r="A30" s="15"/>
      <c r="B30" s="15"/>
      <c r="C30" s="15"/>
      <c r="D30" s="208"/>
      <c r="E30" s="213">
        <v>438681.14</v>
      </c>
      <c r="F30" s="214" t="s">
        <v>71</v>
      </c>
      <c r="G30" s="214" t="s">
        <v>19</v>
      </c>
      <c r="H30" s="215">
        <f>E30-H29</f>
        <v>0</v>
      </c>
      <c r="I30" s="345" t="s">
        <v>71</v>
      </c>
      <c r="J30" s="346" t="s">
        <v>136</v>
      </c>
    </row>
    <row r="31" spans="1:10" ht="15.75" thickTop="1" x14ac:dyDescent="0.25"/>
    <row r="32" spans="1:10" x14ac:dyDescent="0.25">
      <c r="E32" s="14"/>
    </row>
  </sheetData>
  <mergeCells count="3">
    <mergeCell ref="A1:H1"/>
    <mergeCell ref="A2:D2"/>
    <mergeCell ref="E2:H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90872-A983-47F7-A149-0409C863D6A1}">
  <dimension ref="A1:J31"/>
  <sheetViews>
    <sheetView topLeftCell="A3" workbookViewId="0">
      <selection activeCell="J29" sqref="J29"/>
    </sheetView>
  </sheetViews>
  <sheetFormatPr defaultRowHeight="15" x14ac:dyDescent="0.25"/>
  <cols>
    <col min="2" max="2" width="3.85546875" bestFit="1" customWidth="1"/>
    <col min="3" max="3" width="9.7109375" bestFit="1" customWidth="1"/>
    <col min="4" max="4" width="10.7109375" bestFit="1" customWidth="1"/>
    <col min="5" max="6" width="11.5703125" bestFit="1" customWidth="1"/>
    <col min="7" max="7" width="10" bestFit="1" customWidth="1"/>
    <col min="8" max="8" width="11.5703125" bestFit="1" customWidth="1"/>
    <col min="9" max="9" width="13.5703125" customWidth="1"/>
    <col min="10" max="10" width="15.42578125" customWidth="1"/>
  </cols>
  <sheetData>
    <row r="1" spans="1:10" ht="15.75" thickBot="1" x14ac:dyDescent="0.3">
      <c r="A1" s="446" t="s">
        <v>140</v>
      </c>
      <c r="B1" s="446"/>
      <c r="C1" s="446"/>
      <c r="D1" s="446"/>
      <c r="E1" s="440"/>
      <c r="F1" s="440"/>
      <c r="G1" s="440"/>
      <c r="H1" s="440"/>
      <c r="I1" s="339"/>
      <c r="J1" s="339"/>
    </row>
    <row r="2" spans="1:10" ht="15.75" thickTop="1" x14ac:dyDescent="0.25">
      <c r="A2" s="441" t="s">
        <v>30</v>
      </c>
      <c r="B2" s="441"/>
      <c r="C2" s="441"/>
      <c r="D2" s="442"/>
      <c r="E2" s="443" t="s">
        <v>131</v>
      </c>
      <c r="F2" s="444"/>
      <c r="G2" s="444"/>
      <c r="H2" s="445"/>
      <c r="I2" s="340"/>
      <c r="J2" s="340"/>
    </row>
    <row r="3" spans="1:10" ht="47.45" customHeight="1" x14ac:dyDescent="0.25">
      <c r="A3" s="201" t="s">
        <v>46</v>
      </c>
      <c r="B3" s="201" t="s">
        <v>47</v>
      </c>
      <c r="C3" s="201" t="s">
        <v>39</v>
      </c>
      <c r="D3" s="205" t="s">
        <v>40</v>
      </c>
      <c r="E3" s="209" t="s">
        <v>75</v>
      </c>
      <c r="F3" s="182" t="s">
        <v>114</v>
      </c>
      <c r="G3" s="182" t="s">
        <v>115</v>
      </c>
      <c r="H3" s="210" t="s">
        <v>133</v>
      </c>
      <c r="I3" s="343" t="s">
        <v>134</v>
      </c>
      <c r="J3" s="341" t="s">
        <v>135</v>
      </c>
    </row>
    <row r="4" spans="1:10" x14ac:dyDescent="0.25">
      <c r="A4" s="201">
        <v>1</v>
      </c>
      <c r="B4" s="201">
        <v>1</v>
      </c>
      <c r="C4" s="202">
        <v>42644</v>
      </c>
      <c r="D4" s="206">
        <v>42735</v>
      </c>
      <c r="E4" s="211">
        <v>84500</v>
      </c>
      <c r="F4" s="200">
        <f>SUM(0+ E4)</f>
        <v>84500</v>
      </c>
      <c r="G4" s="200">
        <v>0</v>
      </c>
      <c r="H4" s="212">
        <f>G4</f>
        <v>0</v>
      </c>
      <c r="I4" s="344">
        <v>0</v>
      </c>
      <c r="J4" s="342">
        <v>1</v>
      </c>
    </row>
    <row r="5" spans="1:10" x14ac:dyDescent="0.25">
      <c r="A5" s="201">
        <v>1</v>
      </c>
      <c r="B5" s="201">
        <v>2</v>
      </c>
      <c r="C5" s="202">
        <v>42736</v>
      </c>
      <c r="D5" s="206">
        <v>42825</v>
      </c>
      <c r="E5" s="211">
        <v>84500</v>
      </c>
      <c r="F5" s="200">
        <f>SUM(F4+E5)</f>
        <v>169000</v>
      </c>
      <c r="G5" s="200">
        <v>69819</v>
      </c>
      <c r="H5" s="212">
        <f t="shared" ref="H5:H23" si="0">SUM(H4+G5)</f>
        <v>69819</v>
      </c>
      <c r="I5" s="344">
        <v>0</v>
      </c>
      <c r="J5" s="342">
        <v>1</v>
      </c>
    </row>
    <row r="6" spans="1:10" x14ac:dyDescent="0.25">
      <c r="A6" s="201">
        <v>1</v>
      </c>
      <c r="B6" s="201">
        <v>3</v>
      </c>
      <c r="C6" s="202">
        <v>42826</v>
      </c>
      <c r="D6" s="206">
        <v>42916</v>
      </c>
      <c r="E6" s="211">
        <v>84500</v>
      </c>
      <c r="F6" s="200">
        <f t="shared" ref="F6:F23" si="1">SUM(F5+E6)</f>
        <v>253500</v>
      </c>
      <c r="G6" s="200">
        <v>0</v>
      </c>
      <c r="H6" s="212">
        <f t="shared" si="0"/>
        <v>69819</v>
      </c>
      <c r="I6" s="344">
        <v>0</v>
      </c>
      <c r="J6" s="342">
        <v>1</v>
      </c>
    </row>
    <row r="7" spans="1:10" x14ac:dyDescent="0.25">
      <c r="A7" s="201">
        <v>1</v>
      </c>
      <c r="B7" s="201">
        <v>4</v>
      </c>
      <c r="C7" s="202">
        <v>42917</v>
      </c>
      <c r="D7" s="206">
        <v>43008</v>
      </c>
      <c r="E7" s="211">
        <v>84500</v>
      </c>
      <c r="F7" s="200">
        <f t="shared" si="1"/>
        <v>338000</v>
      </c>
      <c r="G7" s="200">
        <v>113478</v>
      </c>
      <c r="H7" s="212">
        <f t="shared" si="0"/>
        <v>183297</v>
      </c>
      <c r="I7" s="344">
        <v>0</v>
      </c>
      <c r="J7" s="342">
        <v>1</v>
      </c>
    </row>
    <row r="8" spans="1:10" x14ac:dyDescent="0.25">
      <c r="A8" s="201">
        <v>2</v>
      </c>
      <c r="B8" s="201">
        <v>1</v>
      </c>
      <c r="C8" s="202">
        <v>43009</v>
      </c>
      <c r="D8" s="206">
        <v>43100</v>
      </c>
      <c r="E8" s="211">
        <v>84500</v>
      </c>
      <c r="F8" s="200">
        <f t="shared" si="1"/>
        <v>422500</v>
      </c>
      <c r="G8" s="200">
        <v>78332</v>
      </c>
      <c r="H8" s="212">
        <f t="shared" si="0"/>
        <v>261629</v>
      </c>
      <c r="I8" s="344">
        <v>0</v>
      </c>
      <c r="J8" s="342">
        <v>1</v>
      </c>
    </row>
    <row r="9" spans="1:10" x14ac:dyDescent="0.25">
      <c r="A9" s="201">
        <v>2</v>
      </c>
      <c r="B9" s="201">
        <v>2</v>
      </c>
      <c r="C9" s="202">
        <v>43101</v>
      </c>
      <c r="D9" s="206">
        <v>43190</v>
      </c>
      <c r="E9" s="211">
        <v>84500</v>
      </c>
      <c r="F9" s="200">
        <f t="shared" si="1"/>
        <v>507000</v>
      </c>
      <c r="G9" s="200">
        <v>70377</v>
      </c>
      <c r="H9" s="212">
        <f t="shared" si="0"/>
        <v>332006</v>
      </c>
      <c r="I9" s="344">
        <v>0</v>
      </c>
      <c r="J9" s="342">
        <v>1</v>
      </c>
    </row>
    <row r="10" spans="1:10" x14ac:dyDescent="0.25">
      <c r="A10" s="201">
        <v>2</v>
      </c>
      <c r="B10" s="201">
        <v>3</v>
      </c>
      <c r="C10" s="202">
        <v>43191</v>
      </c>
      <c r="D10" s="206">
        <v>43281</v>
      </c>
      <c r="E10" s="211">
        <v>84500</v>
      </c>
      <c r="F10" s="200">
        <f t="shared" si="1"/>
        <v>591500</v>
      </c>
      <c r="G10" s="200">
        <v>122199</v>
      </c>
      <c r="H10" s="212">
        <f t="shared" si="0"/>
        <v>454205</v>
      </c>
      <c r="I10" s="344">
        <v>0</v>
      </c>
      <c r="J10" s="342">
        <v>1</v>
      </c>
    </row>
    <row r="11" spans="1:10" x14ac:dyDescent="0.25">
      <c r="A11" s="201">
        <v>2</v>
      </c>
      <c r="B11" s="201">
        <v>4</v>
      </c>
      <c r="C11" s="202">
        <v>43282</v>
      </c>
      <c r="D11" s="206">
        <v>43373</v>
      </c>
      <c r="E11" s="211">
        <v>84500</v>
      </c>
      <c r="F11" s="200">
        <f t="shared" si="1"/>
        <v>676000</v>
      </c>
      <c r="G11" s="200">
        <v>188640</v>
      </c>
      <c r="H11" s="212">
        <f t="shared" si="0"/>
        <v>642845</v>
      </c>
      <c r="I11" s="344">
        <v>0</v>
      </c>
      <c r="J11" s="342">
        <v>1</v>
      </c>
    </row>
    <row r="12" spans="1:10" x14ac:dyDescent="0.25">
      <c r="A12" s="201">
        <v>3</v>
      </c>
      <c r="B12" s="201">
        <v>1</v>
      </c>
      <c r="C12" s="202">
        <v>43374</v>
      </c>
      <c r="D12" s="206">
        <v>43465</v>
      </c>
      <c r="E12" s="211">
        <v>84500</v>
      </c>
      <c r="F12" s="200">
        <f t="shared" si="1"/>
        <v>760500</v>
      </c>
      <c r="G12" s="200">
        <v>121585</v>
      </c>
      <c r="H12" s="212">
        <f t="shared" si="0"/>
        <v>764430</v>
      </c>
      <c r="I12" s="344">
        <v>0</v>
      </c>
      <c r="J12" s="342">
        <v>2</v>
      </c>
    </row>
    <row r="13" spans="1:10" x14ac:dyDescent="0.25">
      <c r="A13" s="201">
        <v>3</v>
      </c>
      <c r="B13" s="201">
        <v>2</v>
      </c>
      <c r="C13" s="202">
        <v>43466</v>
      </c>
      <c r="D13" s="206">
        <v>43555</v>
      </c>
      <c r="E13" s="211">
        <v>84500</v>
      </c>
      <c r="F13" s="200">
        <f t="shared" si="1"/>
        <v>845000</v>
      </c>
      <c r="G13" s="200">
        <v>77029</v>
      </c>
      <c r="H13" s="212">
        <f t="shared" si="0"/>
        <v>841459</v>
      </c>
      <c r="I13" s="344">
        <v>0</v>
      </c>
      <c r="J13" s="342">
        <v>1</v>
      </c>
    </row>
    <row r="14" spans="1:10" x14ac:dyDescent="0.25">
      <c r="A14" s="201">
        <v>3</v>
      </c>
      <c r="B14" s="201">
        <v>3</v>
      </c>
      <c r="C14" s="202">
        <v>43556</v>
      </c>
      <c r="D14" s="206">
        <v>43646</v>
      </c>
      <c r="E14" s="211">
        <v>84500</v>
      </c>
      <c r="F14" s="200">
        <f t="shared" si="1"/>
        <v>929500</v>
      </c>
      <c r="G14" s="200">
        <v>100290</v>
      </c>
      <c r="H14" s="212">
        <f t="shared" si="0"/>
        <v>941749</v>
      </c>
      <c r="I14" s="344">
        <v>0</v>
      </c>
      <c r="J14" s="342">
        <v>1</v>
      </c>
    </row>
    <row r="15" spans="1:10" x14ac:dyDescent="0.25">
      <c r="A15" s="201">
        <v>3</v>
      </c>
      <c r="B15" s="201">
        <v>4</v>
      </c>
      <c r="C15" s="202">
        <v>43647</v>
      </c>
      <c r="D15" s="206">
        <v>43738</v>
      </c>
      <c r="E15" s="211">
        <v>84500</v>
      </c>
      <c r="F15" s="200">
        <f t="shared" si="1"/>
        <v>1014000</v>
      </c>
      <c r="G15" s="200">
        <v>29569</v>
      </c>
      <c r="H15" s="212">
        <f t="shared" si="0"/>
        <v>971318</v>
      </c>
      <c r="I15" s="344">
        <v>0</v>
      </c>
      <c r="J15" s="342">
        <v>1</v>
      </c>
    </row>
    <row r="16" spans="1:10" x14ac:dyDescent="0.25">
      <c r="A16" s="201">
        <v>4</v>
      </c>
      <c r="B16" s="201">
        <v>1</v>
      </c>
      <c r="C16" s="202">
        <v>43739</v>
      </c>
      <c r="D16" s="206">
        <v>43830</v>
      </c>
      <c r="E16" s="211">
        <v>84500</v>
      </c>
      <c r="F16" s="200">
        <f t="shared" si="1"/>
        <v>1098500</v>
      </c>
      <c r="G16" s="200">
        <v>148882</v>
      </c>
      <c r="H16" s="212">
        <f t="shared" si="0"/>
        <v>1120200</v>
      </c>
      <c r="I16" s="344">
        <v>0</v>
      </c>
      <c r="J16" s="342">
        <v>1</v>
      </c>
    </row>
    <row r="17" spans="1:10" x14ac:dyDescent="0.25">
      <c r="A17" s="201">
        <v>4</v>
      </c>
      <c r="B17" s="201">
        <v>2</v>
      </c>
      <c r="C17" s="202">
        <v>43831</v>
      </c>
      <c r="D17" s="206">
        <v>43921</v>
      </c>
      <c r="E17" s="211">
        <v>84500</v>
      </c>
      <c r="F17" s="200">
        <f t="shared" si="1"/>
        <v>1183000</v>
      </c>
      <c r="G17" s="200">
        <v>51743</v>
      </c>
      <c r="H17" s="212">
        <f t="shared" si="0"/>
        <v>1171943</v>
      </c>
      <c r="I17" s="344">
        <v>0</v>
      </c>
      <c r="J17" s="342">
        <v>1</v>
      </c>
    </row>
    <row r="18" spans="1:10" x14ac:dyDescent="0.25">
      <c r="A18" s="201">
        <v>4</v>
      </c>
      <c r="B18" s="201">
        <v>3</v>
      </c>
      <c r="C18" s="202">
        <v>43922</v>
      </c>
      <c r="D18" s="206">
        <v>44012</v>
      </c>
      <c r="E18" s="211">
        <v>84500</v>
      </c>
      <c r="F18" s="200">
        <f t="shared" si="1"/>
        <v>1267500</v>
      </c>
      <c r="G18" s="200">
        <v>154258</v>
      </c>
      <c r="H18" s="212">
        <f t="shared" si="0"/>
        <v>1326201</v>
      </c>
      <c r="I18" s="344">
        <v>0</v>
      </c>
      <c r="J18" s="342">
        <v>1</v>
      </c>
    </row>
    <row r="19" spans="1:10" x14ac:dyDescent="0.25">
      <c r="A19" s="201">
        <v>4</v>
      </c>
      <c r="B19" s="201">
        <v>4</v>
      </c>
      <c r="C19" s="202">
        <v>44013</v>
      </c>
      <c r="D19" s="206">
        <v>44104</v>
      </c>
      <c r="E19" s="211">
        <v>84500</v>
      </c>
      <c r="F19" s="200">
        <f t="shared" si="1"/>
        <v>1352000</v>
      </c>
      <c r="G19" s="200">
        <v>0</v>
      </c>
      <c r="H19" s="212">
        <f t="shared" si="0"/>
        <v>1326201</v>
      </c>
      <c r="I19" s="344">
        <v>0</v>
      </c>
      <c r="J19" s="342">
        <v>1</v>
      </c>
    </row>
    <row r="20" spans="1:10" x14ac:dyDescent="0.25">
      <c r="A20" s="201">
        <v>5</v>
      </c>
      <c r="B20" s="201">
        <v>1</v>
      </c>
      <c r="C20" s="202">
        <v>44105</v>
      </c>
      <c r="D20" s="206">
        <v>44196</v>
      </c>
      <c r="E20" s="211">
        <v>84500</v>
      </c>
      <c r="F20" s="200">
        <f t="shared" si="1"/>
        <v>1436500</v>
      </c>
      <c r="G20" s="200">
        <v>0</v>
      </c>
      <c r="H20" s="212">
        <f t="shared" si="0"/>
        <v>1326201</v>
      </c>
      <c r="I20" s="344">
        <v>0</v>
      </c>
      <c r="J20" s="342">
        <v>1</v>
      </c>
    </row>
    <row r="21" spans="1:10" x14ac:dyDescent="0.25">
      <c r="A21" s="201">
        <v>5</v>
      </c>
      <c r="B21" s="201">
        <v>2</v>
      </c>
      <c r="C21" s="202">
        <v>44197</v>
      </c>
      <c r="D21" s="206">
        <v>44286</v>
      </c>
      <c r="E21" s="211">
        <v>84500</v>
      </c>
      <c r="F21" s="200">
        <f t="shared" si="1"/>
        <v>1521000</v>
      </c>
      <c r="G21" s="200">
        <v>217431</v>
      </c>
      <c r="H21" s="212">
        <f t="shared" si="0"/>
        <v>1543632</v>
      </c>
      <c r="I21" s="344">
        <v>18</v>
      </c>
      <c r="J21" s="342">
        <v>1</v>
      </c>
    </row>
    <row r="22" spans="1:10" x14ac:dyDescent="0.25">
      <c r="A22" s="201">
        <v>5</v>
      </c>
      <c r="B22" s="201">
        <v>3</v>
      </c>
      <c r="C22" s="202">
        <v>44287</v>
      </c>
      <c r="D22" s="206">
        <v>44377</v>
      </c>
      <c r="E22" s="211">
        <v>84500</v>
      </c>
      <c r="F22" s="200">
        <f t="shared" si="1"/>
        <v>1605500</v>
      </c>
      <c r="G22" s="200">
        <v>31393</v>
      </c>
      <c r="H22" s="212">
        <f t="shared" si="0"/>
        <v>1575025</v>
      </c>
      <c r="I22" s="344">
        <v>1</v>
      </c>
      <c r="J22" s="342">
        <v>1</v>
      </c>
    </row>
    <row r="23" spans="1:10" x14ac:dyDescent="0.25">
      <c r="A23" s="201">
        <v>5</v>
      </c>
      <c r="B23" s="201">
        <v>4</v>
      </c>
      <c r="C23" s="202">
        <v>44378</v>
      </c>
      <c r="D23" s="206">
        <v>44469</v>
      </c>
      <c r="E23" s="211">
        <v>84500</v>
      </c>
      <c r="F23" s="200">
        <f t="shared" si="1"/>
        <v>1690000</v>
      </c>
      <c r="G23" s="200">
        <v>136628</v>
      </c>
      <c r="H23" s="212">
        <f t="shared" si="0"/>
        <v>1711653</v>
      </c>
      <c r="I23" s="344">
        <v>1</v>
      </c>
      <c r="J23" s="342">
        <v>5</v>
      </c>
    </row>
    <row r="24" spans="1:10" x14ac:dyDescent="0.25">
      <c r="A24" s="201">
        <v>6</v>
      </c>
      <c r="B24" s="201">
        <v>1</v>
      </c>
      <c r="C24" s="202">
        <v>44470</v>
      </c>
      <c r="D24" s="206">
        <v>44561</v>
      </c>
      <c r="E24" s="211">
        <v>84500</v>
      </c>
      <c r="F24" s="200">
        <f>SUM(F23+E24)</f>
        <v>1774500</v>
      </c>
      <c r="G24" s="200">
        <v>56339</v>
      </c>
      <c r="H24" s="212">
        <f t="shared" ref="H24:H29" si="2">SUM(H23+G24)</f>
        <v>1767992</v>
      </c>
      <c r="I24" s="344">
        <v>0</v>
      </c>
      <c r="J24" s="342">
        <v>0</v>
      </c>
    </row>
    <row r="25" spans="1:10" x14ac:dyDescent="0.25">
      <c r="A25" s="201">
        <v>6</v>
      </c>
      <c r="B25" s="201">
        <v>2</v>
      </c>
      <c r="C25" s="202">
        <v>44562</v>
      </c>
      <c r="D25" s="206">
        <v>44651</v>
      </c>
      <c r="E25" s="211">
        <v>84500</v>
      </c>
      <c r="F25" s="200">
        <f>SUM(F24+E25)</f>
        <v>1859000</v>
      </c>
      <c r="G25" s="200">
        <v>57198</v>
      </c>
      <c r="H25" s="212">
        <f t="shared" si="2"/>
        <v>1825190</v>
      </c>
      <c r="I25" s="344">
        <v>0</v>
      </c>
      <c r="J25" s="342">
        <v>0</v>
      </c>
    </row>
    <row r="26" spans="1:10" x14ac:dyDescent="0.25">
      <c r="A26" s="201">
        <v>6</v>
      </c>
      <c r="B26" s="201">
        <v>3</v>
      </c>
      <c r="C26" s="202">
        <v>44652</v>
      </c>
      <c r="D26" s="206">
        <v>44742</v>
      </c>
      <c r="E26" s="211">
        <v>84500</v>
      </c>
      <c r="F26" s="200">
        <f>SUM(F25+E26)</f>
        <v>1943500</v>
      </c>
      <c r="G26" s="200">
        <v>38118</v>
      </c>
      <c r="H26" s="212">
        <f t="shared" si="2"/>
        <v>1863308</v>
      </c>
      <c r="I26" s="344">
        <v>0</v>
      </c>
      <c r="J26" s="342">
        <v>0</v>
      </c>
    </row>
    <row r="27" spans="1:10" x14ac:dyDescent="0.25">
      <c r="A27" s="201">
        <v>6</v>
      </c>
      <c r="B27" s="201">
        <v>4</v>
      </c>
      <c r="C27" s="203">
        <v>44743</v>
      </c>
      <c r="D27" s="207">
        <v>44834</v>
      </c>
      <c r="E27" s="211">
        <v>84500</v>
      </c>
      <c r="F27" s="200">
        <f>SUM(F26+E27)</f>
        <v>2028000</v>
      </c>
      <c r="G27" s="200">
        <v>76602</v>
      </c>
      <c r="H27" s="212">
        <f t="shared" si="2"/>
        <v>1939910</v>
      </c>
      <c r="I27" s="344">
        <v>0</v>
      </c>
      <c r="J27" s="342">
        <v>0</v>
      </c>
    </row>
    <row r="28" spans="1:10" x14ac:dyDescent="0.25">
      <c r="A28" s="201">
        <v>7</v>
      </c>
      <c r="B28" s="201">
        <v>1</v>
      </c>
      <c r="C28" s="203">
        <v>44835</v>
      </c>
      <c r="D28" s="207">
        <v>44926</v>
      </c>
      <c r="E28" s="211">
        <v>84500</v>
      </c>
      <c r="F28" s="200">
        <f>SUM(F27+E28)</f>
        <v>2112500</v>
      </c>
      <c r="G28" s="200">
        <f>23388.2+13396.57+22989.69</f>
        <v>59774.460000000006</v>
      </c>
      <c r="H28" s="212">
        <f t="shared" si="2"/>
        <v>1999684.46</v>
      </c>
      <c r="I28" s="344">
        <v>14</v>
      </c>
      <c r="J28" s="342">
        <v>9</v>
      </c>
    </row>
    <row r="29" spans="1:10" x14ac:dyDescent="0.25">
      <c r="A29" s="201">
        <v>7</v>
      </c>
      <c r="B29" s="201">
        <v>2</v>
      </c>
      <c r="C29" s="203">
        <v>44927</v>
      </c>
      <c r="D29" s="207">
        <v>45016</v>
      </c>
      <c r="E29" s="316"/>
      <c r="F29" s="317"/>
      <c r="G29" s="317">
        <f>40641.96+20055.03</f>
        <v>60696.99</v>
      </c>
      <c r="H29" s="212">
        <f t="shared" si="2"/>
        <v>2060381.45</v>
      </c>
      <c r="I29" s="345">
        <f>SUM(I4:I28)</f>
        <v>34</v>
      </c>
      <c r="J29" s="345">
        <f>SUM(J4:J28)</f>
        <v>34</v>
      </c>
    </row>
    <row r="30" spans="1:10" ht="15.75" thickBot="1" x14ac:dyDescent="0.3">
      <c r="A30" s="15"/>
      <c r="B30" s="15"/>
      <c r="C30" s="15"/>
      <c r="D30" s="208"/>
      <c r="E30" s="213">
        <v>2060381.45</v>
      </c>
      <c r="F30" s="214" t="s">
        <v>71</v>
      </c>
      <c r="G30" s="214" t="s">
        <v>19</v>
      </c>
      <c r="H30" s="215">
        <f>E30-H29</f>
        <v>0</v>
      </c>
      <c r="I30" s="345" t="s">
        <v>71</v>
      </c>
      <c r="J30" s="346" t="s">
        <v>136</v>
      </c>
    </row>
    <row r="31" spans="1:10" ht="15.75" thickTop="1" x14ac:dyDescent="0.25"/>
  </sheetData>
  <mergeCells count="3">
    <mergeCell ref="A1:H1"/>
    <mergeCell ref="A2:D2"/>
    <mergeCell ref="E2:H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62BBC-E3E5-4C22-BA60-3561B1E27F6F}">
  <sheetPr>
    <pageSetUpPr fitToPage="1"/>
  </sheetPr>
  <dimension ref="A1:J34"/>
  <sheetViews>
    <sheetView topLeftCell="A3" workbookViewId="0">
      <selection activeCell="A33" sqref="A33"/>
    </sheetView>
  </sheetViews>
  <sheetFormatPr defaultColWidth="9.140625" defaultRowHeight="15" x14ac:dyDescent="0.25"/>
  <cols>
    <col min="1" max="2" width="9.140625" style="14"/>
    <col min="3" max="3" width="9.7109375" style="14" bestFit="1" customWidth="1"/>
    <col min="4" max="4" width="10.7109375" style="14" bestFit="1" customWidth="1"/>
    <col min="5" max="5" width="9.140625" style="14"/>
    <col min="6" max="6" width="11.5703125" style="14" bestFit="1" customWidth="1"/>
    <col min="7" max="7" width="10" style="14" bestFit="1" customWidth="1"/>
    <col min="8" max="8" width="11.5703125" style="14" bestFit="1" customWidth="1"/>
    <col min="9" max="9" width="13.5703125" customWidth="1"/>
    <col min="10" max="10" width="15.42578125" customWidth="1"/>
    <col min="11" max="16384" width="9.140625" style="14"/>
  </cols>
  <sheetData>
    <row r="1" spans="1:10" ht="15.75" thickBot="1" x14ac:dyDescent="0.3">
      <c r="A1" s="446" t="s">
        <v>141</v>
      </c>
      <c r="B1" s="446"/>
      <c r="C1" s="446"/>
      <c r="D1" s="446"/>
      <c r="E1" s="440"/>
      <c r="F1" s="440"/>
      <c r="G1" s="440"/>
      <c r="H1" s="440"/>
      <c r="I1" s="339"/>
      <c r="J1" s="339"/>
    </row>
    <row r="2" spans="1:10" ht="15.75" thickTop="1" x14ac:dyDescent="0.25">
      <c r="A2" s="441" t="s">
        <v>30</v>
      </c>
      <c r="B2" s="441"/>
      <c r="C2" s="441"/>
      <c r="D2" s="442"/>
      <c r="E2" s="443" t="s">
        <v>131</v>
      </c>
      <c r="F2" s="444"/>
      <c r="G2" s="444"/>
      <c r="H2" s="445"/>
      <c r="I2" s="340"/>
      <c r="J2" s="340"/>
    </row>
    <row r="3" spans="1:10" ht="63" x14ac:dyDescent="0.25">
      <c r="A3" s="201" t="s">
        <v>46</v>
      </c>
      <c r="B3" s="201" t="s">
        <v>47</v>
      </c>
      <c r="C3" s="201" t="s">
        <v>39</v>
      </c>
      <c r="D3" s="205" t="s">
        <v>40</v>
      </c>
      <c r="E3" s="209" t="s">
        <v>75</v>
      </c>
      <c r="F3" s="182" t="s">
        <v>114</v>
      </c>
      <c r="G3" s="182" t="s">
        <v>115</v>
      </c>
      <c r="H3" s="210" t="s">
        <v>133</v>
      </c>
      <c r="I3" s="343" t="s">
        <v>134</v>
      </c>
      <c r="J3" s="341" t="s">
        <v>135</v>
      </c>
    </row>
    <row r="4" spans="1:10" x14ac:dyDescent="0.25">
      <c r="A4" s="201">
        <v>1</v>
      </c>
      <c r="B4" s="201">
        <v>1</v>
      </c>
      <c r="C4" s="202">
        <v>42644</v>
      </c>
      <c r="D4" s="206">
        <v>42735</v>
      </c>
      <c r="E4" s="211">
        <v>10714.285714285714</v>
      </c>
      <c r="F4" s="200">
        <f>SUM(0+ E4)</f>
        <v>10714.285714285714</v>
      </c>
      <c r="G4" s="200">
        <v>0</v>
      </c>
      <c r="H4" s="212">
        <f>G4</f>
        <v>0</v>
      </c>
      <c r="I4" s="344">
        <v>0</v>
      </c>
      <c r="J4" s="342">
        <v>1</v>
      </c>
    </row>
    <row r="5" spans="1:10" x14ac:dyDescent="0.25">
      <c r="A5" s="201">
        <v>1</v>
      </c>
      <c r="B5" s="201">
        <v>2</v>
      </c>
      <c r="C5" s="202">
        <v>42736</v>
      </c>
      <c r="D5" s="206">
        <v>42825</v>
      </c>
      <c r="E5" s="211">
        <v>10714.285714285714</v>
      </c>
      <c r="F5" s="200">
        <f>SUM(F4+E5)</f>
        <v>21428.571428571428</v>
      </c>
      <c r="G5" s="200">
        <v>4515</v>
      </c>
      <c r="H5" s="212">
        <f t="shared" ref="H5:H23" si="0">SUM(H4+G5)</f>
        <v>4515</v>
      </c>
      <c r="I5" s="344">
        <v>0</v>
      </c>
      <c r="J5" s="342">
        <v>4</v>
      </c>
    </row>
    <row r="6" spans="1:10" x14ac:dyDescent="0.25">
      <c r="A6" s="201">
        <v>1</v>
      </c>
      <c r="B6" s="201">
        <v>3</v>
      </c>
      <c r="C6" s="202">
        <v>42826</v>
      </c>
      <c r="D6" s="206">
        <v>42916</v>
      </c>
      <c r="E6" s="211">
        <v>10714.285714285714</v>
      </c>
      <c r="F6" s="200">
        <f t="shared" ref="F6:F23" si="1">SUM(F5+E6)</f>
        <v>32142.857142857141</v>
      </c>
      <c r="G6" s="200">
        <v>7866</v>
      </c>
      <c r="H6" s="212">
        <f t="shared" si="0"/>
        <v>12381</v>
      </c>
      <c r="I6" s="344">
        <v>0</v>
      </c>
      <c r="J6" s="342">
        <v>1</v>
      </c>
    </row>
    <row r="7" spans="1:10" x14ac:dyDescent="0.25">
      <c r="A7" s="201">
        <v>1</v>
      </c>
      <c r="B7" s="201">
        <v>4</v>
      </c>
      <c r="C7" s="202">
        <v>42917</v>
      </c>
      <c r="D7" s="206">
        <v>43008</v>
      </c>
      <c r="E7" s="211">
        <v>10714.285714285714</v>
      </c>
      <c r="F7" s="200">
        <f t="shared" si="1"/>
        <v>42857.142857142855</v>
      </c>
      <c r="G7" s="200">
        <v>14569</v>
      </c>
      <c r="H7" s="212">
        <f t="shared" si="0"/>
        <v>26950</v>
      </c>
      <c r="I7" s="344">
        <v>0</v>
      </c>
      <c r="J7" s="342">
        <v>1</v>
      </c>
    </row>
    <row r="8" spans="1:10" x14ac:dyDescent="0.25">
      <c r="A8" s="201">
        <v>2</v>
      </c>
      <c r="B8" s="201">
        <v>1</v>
      </c>
      <c r="C8" s="202">
        <v>43009</v>
      </c>
      <c r="D8" s="206">
        <v>43100</v>
      </c>
      <c r="E8" s="211">
        <v>10714.285714285714</v>
      </c>
      <c r="F8" s="200">
        <f t="shared" si="1"/>
        <v>53571.428571428565</v>
      </c>
      <c r="G8" s="200">
        <v>10524</v>
      </c>
      <c r="H8" s="212">
        <f t="shared" si="0"/>
        <v>37474</v>
      </c>
      <c r="I8" s="344">
        <v>0</v>
      </c>
      <c r="J8" s="342">
        <v>1</v>
      </c>
    </row>
    <row r="9" spans="1:10" x14ac:dyDescent="0.25">
      <c r="A9" s="201">
        <v>2</v>
      </c>
      <c r="B9" s="201">
        <v>2</v>
      </c>
      <c r="C9" s="202">
        <v>43101</v>
      </c>
      <c r="D9" s="206">
        <v>43190</v>
      </c>
      <c r="E9" s="211">
        <v>10714.285714285714</v>
      </c>
      <c r="F9" s="200">
        <f t="shared" si="1"/>
        <v>64285.714285714275</v>
      </c>
      <c r="G9" s="200">
        <v>12412</v>
      </c>
      <c r="H9" s="212">
        <f t="shared" si="0"/>
        <v>49886</v>
      </c>
      <c r="I9" s="344">
        <v>0</v>
      </c>
      <c r="J9" s="342">
        <v>8</v>
      </c>
    </row>
    <row r="10" spans="1:10" x14ac:dyDescent="0.25">
      <c r="A10" s="201">
        <v>2</v>
      </c>
      <c r="B10" s="201">
        <v>3</v>
      </c>
      <c r="C10" s="202">
        <v>43191</v>
      </c>
      <c r="D10" s="206">
        <v>43281</v>
      </c>
      <c r="E10" s="211">
        <v>10714.285714285714</v>
      </c>
      <c r="F10" s="200">
        <f t="shared" si="1"/>
        <v>74999.999999999985</v>
      </c>
      <c r="G10" s="200">
        <v>10028</v>
      </c>
      <c r="H10" s="212">
        <f t="shared" si="0"/>
        <v>59914</v>
      </c>
      <c r="I10" s="344">
        <v>0</v>
      </c>
      <c r="J10" s="342">
        <v>1</v>
      </c>
    </row>
    <row r="11" spans="1:10" x14ac:dyDescent="0.25">
      <c r="A11" s="201">
        <v>2</v>
      </c>
      <c r="B11" s="201">
        <v>4</v>
      </c>
      <c r="C11" s="202">
        <v>43282</v>
      </c>
      <c r="D11" s="206">
        <v>43373</v>
      </c>
      <c r="E11" s="211">
        <v>10714.285714285714</v>
      </c>
      <c r="F11" s="200">
        <f t="shared" si="1"/>
        <v>85714.285714285696</v>
      </c>
      <c r="G11" s="200">
        <v>16314</v>
      </c>
      <c r="H11" s="212">
        <f t="shared" si="0"/>
        <v>76228</v>
      </c>
      <c r="I11" s="344">
        <v>0</v>
      </c>
      <c r="J11" s="342">
        <v>1</v>
      </c>
    </row>
    <row r="12" spans="1:10" x14ac:dyDescent="0.25">
      <c r="A12" s="201">
        <v>3</v>
      </c>
      <c r="B12" s="201">
        <v>1</v>
      </c>
      <c r="C12" s="202">
        <v>43374</v>
      </c>
      <c r="D12" s="206">
        <v>43465</v>
      </c>
      <c r="E12" s="211">
        <v>10714.285714285714</v>
      </c>
      <c r="F12" s="200">
        <f t="shared" si="1"/>
        <v>96428.571428571406</v>
      </c>
      <c r="G12" s="200">
        <v>2023</v>
      </c>
      <c r="H12" s="212">
        <f t="shared" si="0"/>
        <v>78251</v>
      </c>
      <c r="I12" s="344">
        <v>0</v>
      </c>
      <c r="J12" s="342">
        <v>1</v>
      </c>
    </row>
    <row r="13" spans="1:10" x14ac:dyDescent="0.25">
      <c r="A13" s="201">
        <v>3</v>
      </c>
      <c r="B13" s="201">
        <v>2</v>
      </c>
      <c r="C13" s="202">
        <v>43466</v>
      </c>
      <c r="D13" s="206">
        <v>43555</v>
      </c>
      <c r="E13" s="211">
        <v>10714.285714285714</v>
      </c>
      <c r="F13" s="200">
        <f t="shared" si="1"/>
        <v>107142.85714285712</v>
      </c>
      <c r="G13" s="200">
        <v>15692</v>
      </c>
      <c r="H13" s="212">
        <f t="shared" si="0"/>
        <v>93943</v>
      </c>
      <c r="I13" s="344">
        <v>0</v>
      </c>
      <c r="J13" s="342">
        <v>1</v>
      </c>
    </row>
    <row r="14" spans="1:10" x14ac:dyDescent="0.25">
      <c r="A14" s="201">
        <v>3</v>
      </c>
      <c r="B14" s="201">
        <v>3</v>
      </c>
      <c r="C14" s="202">
        <v>43556</v>
      </c>
      <c r="D14" s="206">
        <v>43646</v>
      </c>
      <c r="E14" s="211">
        <v>10714.285714285714</v>
      </c>
      <c r="F14" s="200">
        <f t="shared" si="1"/>
        <v>117857.14285714283</v>
      </c>
      <c r="G14" s="200">
        <v>9433</v>
      </c>
      <c r="H14" s="212">
        <f t="shared" si="0"/>
        <v>103376</v>
      </c>
      <c r="I14" s="344">
        <v>0</v>
      </c>
      <c r="J14" s="342">
        <v>1</v>
      </c>
    </row>
    <row r="15" spans="1:10" x14ac:dyDescent="0.25">
      <c r="A15" s="201">
        <v>3</v>
      </c>
      <c r="B15" s="201">
        <v>4</v>
      </c>
      <c r="C15" s="202">
        <v>43647</v>
      </c>
      <c r="D15" s="206">
        <v>43738</v>
      </c>
      <c r="E15" s="211">
        <v>10714.285714285714</v>
      </c>
      <c r="F15" s="200">
        <f t="shared" si="1"/>
        <v>128571.42857142854</v>
      </c>
      <c r="G15" s="200">
        <v>13354</v>
      </c>
      <c r="H15" s="212">
        <f t="shared" si="0"/>
        <v>116730</v>
      </c>
      <c r="I15" s="344">
        <v>0</v>
      </c>
      <c r="J15" s="342">
        <v>1</v>
      </c>
    </row>
    <row r="16" spans="1:10" x14ac:dyDescent="0.25">
      <c r="A16" s="201">
        <v>4</v>
      </c>
      <c r="B16" s="201">
        <v>1</v>
      </c>
      <c r="C16" s="202">
        <v>43739</v>
      </c>
      <c r="D16" s="206">
        <v>43830</v>
      </c>
      <c r="E16" s="211">
        <v>10714.285714285714</v>
      </c>
      <c r="F16" s="200">
        <f t="shared" si="1"/>
        <v>139285.71428571426</v>
      </c>
      <c r="G16" s="200">
        <v>10547</v>
      </c>
      <c r="H16" s="212">
        <f t="shared" si="0"/>
        <v>127277</v>
      </c>
      <c r="I16" s="344">
        <v>0</v>
      </c>
      <c r="J16" s="342">
        <v>1</v>
      </c>
    </row>
    <row r="17" spans="1:10" x14ac:dyDescent="0.25">
      <c r="A17" s="201">
        <v>4</v>
      </c>
      <c r="B17" s="201">
        <v>2</v>
      </c>
      <c r="C17" s="202">
        <v>43831</v>
      </c>
      <c r="D17" s="206">
        <v>43921</v>
      </c>
      <c r="E17" s="211">
        <v>10714.285714285714</v>
      </c>
      <c r="F17" s="200">
        <f t="shared" si="1"/>
        <v>149999.99999999997</v>
      </c>
      <c r="G17" s="200">
        <v>14254</v>
      </c>
      <c r="H17" s="212">
        <f t="shared" si="0"/>
        <v>141531</v>
      </c>
      <c r="I17" s="344">
        <v>0</v>
      </c>
      <c r="J17" s="342">
        <v>1</v>
      </c>
    </row>
    <row r="18" spans="1:10" x14ac:dyDescent="0.25">
      <c r="A18" s="201">
        <v>4</v>
      </c>
      <c r="B18" s="201">
        <v>3</v>
      </c>
      <c r="C18" s="202">
        <v>43922</v>
      </c>
      <c r="D18" s="206">
        <v>44012</v>
      </c>
      <c r="E18" s="211">
        <v>10714.285714285714</v>
      </c>
      <c r="F18" s="200">
        <f t="shared" si="1"/>
        <v>160714.28571428568</v>
      </c>
      <c r="G18" s="200">
        <v>10331</v>
      </c>
      <c r="H18" s="212">
        <f t="shared" si="0"/>
        <v>151862</v>
      </c>
      <c r="I18" s="344">
        <v>0</v>
      </c>
      <c r="J18" s="342">
        <v>1</v>
      </c>
    </row>
    <row r="19" spans="1:10" x14ac:dyDescent="0.25">
      <c r="A19" s="201">
        <v>4</v>
      </c>
      <c r="B19" s="201">
        <v>4</v>
      </c>
      <c r="C19" s="202">
        <v>44013</v>
      </c>
      <c r="D19" s="206">
        <v>44104</v>
      </c>
      <c r="E19" s="211">
        <v>10714.285714285714</v>
      </c>
      <c r="F19" s="200">
        <f t="shared" si="1"/>
        <v>171428.57142857139</v>
      </c>
      <c r="G19" s="200">
        <v>16483</v>
      </c>
      <c r="H19" s="212">
        <f t="shared" si="0"/>
        <v>168345</v>
      </c>
      <c r="I19" s="344">
        <v>0</v>
      </c>
      <c r="J19" s="342">
        <v>1</v>
      </c>
    </row>
    <row r="20" spans="1:10" x14ac:dyDescent="0.25">
      <c r="A20" s="201">
        <v>5</v>
      </c>
      <c r="B20" s="201">
        <v>1</v>
      </c>
      <c r="C20" s="202">
        <v>44105</v>
      </c>
      <c r="D20" s="206">
        <v>44196</v>
      </c>
      <c r="E20" s="211">
        <v>10714.285714285714</v>
      </c>
      <c r="F20" s="200">
        <f t="shared" si="1"/>
        <v>182142.8571428571</v>
      </c>
      <c r="G20" s="200">
        <v>0</v>
      </c>
      <c r="H20" s="212">
        <f t="shared" si="0"/>
        <v>168345</v>
      </c>
      <c r="I20" s="344">
        <v>0</v>
      </c>
      <c r="J20" s="342">
        <v>1</v>
      </c>
    </row>
    <row r="21" spans="1:10" x14ac:dyDescent="0.25">
      <c r="A21" s="201">
        <v>5</v>
      </c>
      <c r="B21" s="201">
        <v>2</v>
      </c>
      <c r="C21" s="202">
        <v>44197</v>
      </c>
      <c r="D21" s="206">
        <v>44286</v>
      </c>
      <c r="E21" s="211">
        <v>10714.285714285714</v>
      </c>
      <c r="F21" s="200">
        <f t="shared" si="1"/>
        <v>192857.14285714281</v>
      </c>
      <c r="G21" s="200">
        <v>25462</v>
      </c>
      <c r="H21" s="212">
        <f t="shared" si="0"/>
        <v>193807</v>
      </c>
      <c r="I21" s="344">
        <v>28</v>
      </c>
      <c r="J21" s="342">
        <v>1</v>
      </c>
    </row>
    <row r="22" spans="1:10" x14ac:dyDescent="0.25">
      <c r="A22" s="201">
        <v>5</v>
      </c>
      <c r="B22" s="201">
        <v>3</v>
      </c>
      <c r="C22" s="202">
        <v>44287</v>
      </c>
      <c r="D22" s="206">
        <v>44377</v>
      </c>
      <c r="E22" s="211">
        <v>10714.285714285714</v>
      </c>
      <c r="F22" s="200">
        <f t="shared" si="1"/>
        <v>203571.42857142852</v>
      </c>
      <c r="G22" s="200">
        <v>12690</v>
      </c>
      <c r="H22" s="212">
        <f t="shared" si="0"/>
        <v>206497</v>
      </c>
      <c r="I22" s="344">
        <v>1</v>
      </c>
      <c r="J22" s="342">
        <v>1</v>
      </c>
    </row>
    <row r="23" spans="1:10" x14ac:dyDescent="0.25">
      <c r="A23" s="201">
        <v>5</v>
      </c>
      <c r="B23" s="201">
        <v>4</v>
      </c>
      <c r="C23" s="202">
        <v>44378</v>
      </c>
      <c r="D23" s="206">
        <v>44469</v>
      </c>
      <c r="E23" s="211">
        <v>10714.285714285714</v>
      </c>
      <c r="F23" s="200">
        <f t="shared" si="1"/>
        <v>214285.71428571423</v>
      </c>
      <c r="G23" s="200">
        <v>12254</v>
      </c>
      <c r="H23" s="212">
        <f t="shared" si="0"/>
        <v>218751</v>
      </c>
      <c r="I23" s="344">
        <v>1</v>
      </c>
      <c r="J23" s="342">
        <v>1</v>
      </c>
    </row>
    <row r="24" spans="1:10" x14ac:dyDescent="0.25">
      <c r="A24" s="201">
        <v>6</v>
      </c>
      <c r="B24" s="201">
        <v>1</v>
      </c>
      <c r="C24" s="202">
        <v>44470</v>
      </c>
      <c r="D24" s="206">
        <v>44561</v>
      </c>
      <c r="E24" s="211">
        <v>10714.285714285699</v>
      </c>
      <c r="F24" s="200">
        <f>SUM(F23+E24)</f>
        <v>224999.99999999994</v>
      </c>
      <c r="G24" s="200">
        <v>6249</v>
      </c>
      <c r="H24" s="212">
        <f>SUM(H23+G24)</f>
        <v>225000</v>
      </c>
      <c r="I24" s="344">
        <v>8</v>
      </c>
      <c r="J24" s="342">
        <v>8</v>
      </c>
    </row>
    <row r="25" spans="1:10" x14ac:dyDescent="0.25">
      <c r="A25" s="201">
        <v>5</v>
      </c>
      <c r="B25" s="201">
        <v>3</v>
      </c>
      <c r="C25" s="202">
        <v>44287</v>
      </c>
      <c r="D25" s="206">
        <v>44377</v>
      </c>
      <c r="E25" s="316"/>
      <c r="F25" s="317"/>
      <c r="G25" s="317"/>
      <c r="H25" s="318"/>
      <c r="I25" s="344"/>
      <c r="J25" s="342"/>
    </row>
    <row r="26" spans="1:10" x14ac:dyDescent="0.25">
      <c r="A26" s="201">
        <v>5</v>
      </c>
      <c r="B26" s="201">
        <v>4</v>
      </c>
      <c r="C26" s="202">
        <v>44378</v>
      </c>
      <c r="D26" s="206">
        <v>44469</v>
      </c>
      <c r="E26" s="316"/>
      <c r="F26" s="317"/>
      <c r="G26" s="317"/>
      <c r="H26" s="318"/>
      <c r="I26" s="344"/>
      <c r="J26" s="342"/>
    </row>
    <row r="27" spans="1:10" x14ac:dyDescent="0.25">
      <c r="A27" s="201">
        <v>6</v>
      </c>
      <c r="B27" s="201">
        <v>1</v>
      </c>
      <c r="C27" s="202">
        <v>44470</v>
      </c>
      <c r="D27" s="206">
        <v>44561</v>
      </c>
      <c r="E27" s="316"/>
      <c r="F27" s="317"/>
      <c r="G27" s="317"/>
      <c r="H27" s="318"/>
      <c r="I27" s="344"/>
      <c r="J27" s="342"/>
    </row>
    <row r="28" spans="1:10" x14ac:dyDescent="0.25">
      <c r="A28" s="201">
        <v>6</v>
      </c>
      <c r="B28" s="201">
        <v>2</v>
      </c>
      <c r="C28" s="202">
        <v>44562</v>
      </c>
      <c r="D28" s="206">
        <v>44651</v>
      </c>
      <c r="E28" s="316"/>
      <c r="F28" s="317"/>
      <c r="G28" s="317"/>
      <c r="H28" s="318"/>
      <c r="I28" s="344"/>
      <c r="J28" s="342"/>
    </row>
    <row r="29" spans="1:10" x14ac:dyDescent="0.25">
      <c r="A29" s="201">
        <v>6</v>
      </c>
      <c r="B29" s="201">
        <v>3</v>
      </c>
      <c r="C29" s="202">
        <v>44652</v>
      </c>
      <c r="D29" s="206">
        <v>44742</v>
      </c>
      <c r="E29" s="316"/>
      <c r="F29" s="317"/>
      <c r="G29" s="317"/>
      <c r="H29" s="318"/>
      <c r="I29" s="344"/>
      <c r="J29" s="342"/>
    </row>
    <row r="30" spans="1:10" x14ac:dyDescent="0.25">
      <c r="A30" s="201">
        <v>6</v>
      </c>
      <c r="B30" s="201">
        <v>4</v>
      </c>
      <c r="C30" s="203">
        <v>44743</v>
      </c>
      <c r="D30" s="207">
        <v>44834</v>
      </c>
      <c r="E30" s="316"/>
      <c r="F30" s="317"/>
      <c r="G30" s="317"/>
      <c r="H30" s="318"/>
      <c r="I30" s="344"/>
      <c r="J30" s="342"/>
    </row>
    <row r="31" spans="1:10" x14ac:dyDescent="0.25">
      <c r="A31" s="201">
        <v>7</v>
      </c>
      <c r="B31" s="201">
        <v>1</v>
      </c>
      <c r="C31" s="203">
        <v>44835</v>
      </c>
      <c r="D31" s="207">
        <v>44926</v>
      </c>
      <c r="E31" s="316"/>
      <c r="F31" s="317"/>
      <c r="G31" s="317"/>
      <c r="H31" s="318"/>
      <c r="I31" s="344"/>
      <c r="J31" s="342"/>
    </row>
    <row r="32" spans="1:10" x14ac:dyDescent="0.25">
      <c r="A32" s="201">
        <v>7</v>
      </c>
      <c r="B32" s="201">
        <v>2</v>
      </c>
      <c r="C32" s="203">
        <v>44927</v>
      </c>
      <c r="D32" s="207">
        <v>45016</v>
      </c>
      <c r="E32" s="316"/>
      <c r="F32" s="317"/>
      <c r="G32" s="317"/>
      <c r="H32" s="318"/>
      <c r="I32" s="345">
        <f>SUM(I7:I31)</f>
        <v>38</v>
      </c>
      <c r="J32" s="345">
        <f>SUM(J7:J31)</f>
        <v>32</v>
      </c>
    </row>
    <row r="33" spans="1:10" ht="15.75" thickBot="1" x14ac:dyDescent="0.3">
      <c r="A33" s="15"/>
      <c r="B33" s="15"/>
      <c r="C33" s="15"/>
      <c r="D33" s="208"/>
      <c r="E33" s="213">
        <f>SUM(E4:E24)</f>
        <v>224999.99999999994</v>
      </c>
      <c r="F33" s="214" t="s">
        <v>71</v>
      </c>
      <c r="G33" s="214" t="s">
        <v>19</v>
      </c>
      <c r="H33" s="215">
        <f>F24-H24</f>
        <v>0</v>
      </c>
      <c r="I33" s="345" t="s">
        <v>71</v>
      </c>
      <c r="J33" s="346" t="s">
        <v>136</v>
      </c>
    </row>
    <row r="34" spans="1:10" ht="15.75" thickTop="1" x14ac:dyDescent="0.25"/>
  </sheetData>
  <mergeCells count="3">
    <mergeCell ref="A2:D2"/>
    <mergeCell ref="E2:H2"/>
    <mergeCell ref="A1:H1"/>
  </mergeCells>
  <pageMargins left="0.7" right="0.7" top="0.75" bottom="0.75" header="0.3" footer="0.3"/>
  <pageSetup paperSize="5" scale="7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5A588-95A9-40C3-9AA2-CFABCF41AB70}">
  <dimension ref="A1:F31"/>
  <sheetViews>
    <sheetView workbookViewId="0">
      <selection activeCell="D28" sqref="D28"/>
    </sheetView>
  </sheetViews>
  <sheetFormatPr defaultRowHeight="15" x14ac:dyDescent="0.25"/>
  <cols>
    <col min="1" max="1" width="10" bestFit="1" customWidth="1"/>
    <col min="2" max="2" width="23.42578125" customWidth="1"/>
    <col min="3" max="4" width="25.5703125" customWidth="1"/>
    <col min="5" max="5" width="21.28515625" customWidth="1"/>
    <col min="6" max="6" width="21.140625" customWidth="1"/>
  </cols>
  <sheetData>
    <row r="1" spans="1:6" x14ac:dyDescent="0.25">
      <c r="A1" s="382" t="s">
        <v>22</v>
      </c>
      <c r="B1" s="382"/>
      <c r="C1" s="382"/>
      <c r="D1" s="382"/>
      <c r="E1" s="382"/>
      <c r="F1" s="382"/>
    </row>
    <row r="2" spans="1:6" x14ac:dyDescent="0.25">
      <c r="A2" s="34"/>
      <c r="B2" s="321" t="s">
        <v>23</v>
      </c>
      <c r="C2" s="321" t="s">
        <v>24</v>
      </c>
      <c r="D2" s="321" t="s">
        <v>25</v>
      </c>
      <c r="E2" s="321" t="s">
        <v>26</v>
      </c>
      <c r="F2" s="321" t="s">
        <v>27</v>
      </c>
    </row>
    <row r="3" spans="1:6" x14ac:dyDescent="0.25">
      <c r="A3" s="21">
        <v>42644</v>
      </c>
      <c r="B3" s="33">
        <f>'Dubuque Housing'!E5+'Dubuque Housing'!I5+'Dubuque Housing'!M5</f>
        <v>353216.30434782617</v>
      </c>
      <c r="C3" s="257">
        <f>Benton!I4+'Buena Vista'!I4+Fremont!I5+Howard!I5+Iowa!I5+Johnson!I4+Mills!I4+Winneshiek!I5+'Coralville Infra'!E4+'Dubuque Infra'!J4+'Storm Lake'!E4+'Storm Lake'!J4</f>
        <v>2977730.444202899</v>
      </c>
      <c r="D3" s="33">
        <f>Benton!E4+'Buena Vista'!E4+Fremont!E5+Howard!E5+Iowa!E5+Johnson!E4+Mills!E4+Winneshiek!E5+'Dubuque Infra'!E4+HSEMD!E4+'Univ of Iowa'!E4+'Iowa DNR'!E4+'Univ of N Iowa'!E4+'Iowa State Univ'!E4+IDALS!E4</f>
        <v>538699.15527950309</v>
      </c>
      <c r="E3" s="33">
        <f>'Dubuque Housing'!Q5+Benton!M4+'Buena Vista'!M4+Fremont!M5+Howard!M5+Iowa!M5+Johnson!M4+Mills!M4+Winneshiek!M5+'Coralville Infra'!J4+'Dubuque Infra'!O4+'Storm Lake'!O4+HSEMD!I4</f>
        <v>75342.442173913034</v>
      </c>
      <c r="F3" s="33">
        <f t="shared" ref="F3:F28" si="0">SUM(B3:E3)</f>
        <v>3944988.3460041415</v>
      </c>
    </row>
    <row r="4" spans="1:6" x14ac:dyDescent="0.25">
      <c r="A4" s="21">
        <v>42736</v>
      </c>
      <c r="B4" s="33">
        <f>'Dubuque Housing'!E6+'Dubuque Housing'!I6+'Dubuque Housing'!M6</f>
        <v>353216.30434782617</v>
      </c>
      <c r="C4" s="257">
        <f>Benton!I5+'Buena Vista'!I5+Fremont!I6+Howard!I6+Iowa!I6+Johnson!I5+Mills!I5+Winneshiek!I6+'Coralville Infra'!E5+'Dubuque Infra'!J5+'Storm Lake'!E5+'Storm Lake'!J5</f>
        <v>2977730.444202899</v>
      </c>
      <c r="D4" s="33">
        <f>Benton!E5+'Buena Vista'!E5+Fremont!E6+Howard!E6+Iowa!E6+Johnson!E5+Mills!E5+Winneshiek!E6+'Dubuque Infra'!E5+HSEMD!E5+'Univ of Iowa'!E5+'Iowa DNR'!E5+'Univ of N Iowa'!E5+'Iowa State Univ'!E5+IDALS!E5</f>
        <v>538699.15527950309</v>
      </c>
      <c r="E4" s="33">
        <f>'Dubuque Housing'!Q6+Benton!M5+'Buena Vista'!M5+Fremont!M6+Howard!M6+Iowa!M6+Johnson!M5+Mills!M5+Winneshiek!M6+'Coralville Infra'!J5+'Dubuque Infra'!O5+'Storm Lake'!O5+HSEMD!I5</f>
        <v>75342.442173913034</v>
      </c>
      <c r="F4" s="33">
        <f t="shared" si="0"/>
        <v>3944988.3460041415</v>
      </c>
    </row>
    <row r="5" spans="1:6" x14ac:dyDescent="0.25">
      <c r="A5" s="21">
        <v>42826</v>
      </c>
      <c r="B5" s="33">
        <f>'Dubuque Housing'!E7+'Dubuque Housing'!I7+'Dubuque Housing'!M7</f>
        <v>353216.30434782617</v>
      </c>
      <c r="C5" s="257">
        <f>Benton!I6+'Buena Vista'!I6+Fremont!I7+Howard!I7+Iowa!I7+Johnson!I6+Mills!I6+Winneshiek!I7+'Coralville Infra'!E6+'Dubuque Infra'!J6+'Storm Lake'!E6+'Storm Lake'!J6</f>
        <v>2977730.444202899</v>
      </c>
      <c r="D5" s="33">
        <f>Benton!E6+'Buena Vista'!E6+Fremont!E7+Howard!E7+Iowa!E7+Johnson!E6+Mills!E6+Winneshiek!E7+'Dubuque Infra'!E6+HSEMD!E6+'Univ of Iowa'!E6+'Iowa DNR'!E6+'Univ of N Iowa'!E6+'Iowa State Univ'!E6+IDALS!E6</f>
        <v>538699.15527950309</v>
      </c>
      <c r="E5" s="33">
        <f>'Dubuque Housing'!Q7+Benton!M6+'Buena Vista'!M6+Fremont!M7+Howard!M7+Iowa!M7+Johnson!M6+Mills!M6+Winneshiek!M7+'Coralville Infra'!J6+'Dubuque Infra'!O6+'Storm Lake'!O6+HSEMD!I6</f>
        <v>75342.442173913034</v>
      </c>
      <c r="F5" s="33">
        <f t="shared" si="0"/>
        <v>3944988.3460041415</v>
      </c>
    </row>
    <row r="6" spans="1:6" x14ac:dyDescent="0.25">
      <c r="A6" s="21">
        <v>42917</v>
      </c>
      <c r="B6" s="33">
        <f>'Dubuque Housing'!E8+'Dubuque Housing'!I8+'Dubuque Housing'!M8</f>
        <v>353216.30434782617</v>
      </c>
      <c r="C6" s="257">
        <f>Benton!I7+'Buena Vista'!I7+Fremont!I8+Howard!I8+Iowa!I8+Johnson!I7+Mills!I7+Winneshiek!I8+'Coralville Infra'!E7+'Dubuque Infra'!J7+'Storm Lake'!E7+'Storm Lake'!J7</f>
        <v>2977730.444202899</v>
      </c>
      <c r="D6" s="33">
        <f>Benton!E7+'Buena Vista'!E7+Fremont!E8+Howard!E8+Iowa!E8+Johnson!E7+Mills!E7+Winneshiek!E8+'Dubuque Infra'!E7+HSEMD!E7+'Univ of Iowa'!E7+'Iowa DNR'!E7+'Univ of N Iowa'!E7+'Iowa State Univ'!E7+IDALS!E7</f>
        <v>538699.15527950309</v>
      </c>
      <c r="E6" s="33">
        <f>'Dubuque Housing'!Q8+Benton!M7+'Buena Vista'!M7+Fremont!M8+Howard!M8+Iowa!M8+Johnson!M7+Mills!M7+Winneshiek!M8+'Coralville Infra'!J7+'Dubuque Infra'!O7+'Storm Lake'!O7+HSEMD!I7</f>
        <v>75342.442173913034</v>
      </c>
      <c r="F6" s="33">
        <f t="shared" si="0"/>
        <v>3944988.3460041415</v>
      </c>
    </row>
    <row r="7" spans="1:6" x14ac:dyDescent="0.25">
      <c r="A7" s="21">
        <v>43009</v>
      </c>
      <c r="B7" s="33">
        <f>'Dubuque Housing'!E9+'Dubuque Housing'!I9+'Dubuque Housing'!M9</f>
        <v>353216.30434782617</v>
      </c>
      <c r="C7" s="257">
        <f>Benton!I8+'Buena Vista'!I8+Fremont!I9+Howard!I9+Iowa!I9+Johnson!I8+Mills!I8+Winneshiek!I9+'Coralville Infra'!E8+'Dubuque Infra'!J8+'Storm Lake'!E8+'Storm Lake'!J8</f>
        <v>2977730.444202899</v>
      </c>
      <c r="D7" s="33">
        <f>Benton!E8+'Buena Vista'!E8+Fremont!E9+Howard!E9+Iowa!E9+Johnson!E8+Mills!E8+Winneshiek!E9+'Dubuque Infra'!E8+HSEMD!E8+'Univ of Iowa'!E8+'Iowa DNR'!E8+'Univ of N Iowa'!E8+'Iowa State Univ'!E8+IDALS!E8</f>
        <v>538699.15527950309</v>
      </c>
      <c r="E7" s="33">
        <f>'Dubuque Housing'!Q9+Benton!M8+'Buena Vista'!M8+Fremont!M9+Howard!M9+Iowa!M9+Johnson!M8+Mills!M8+Winneshiek!M9+'Coralville Infra'!J8+'Dubuque Infra'!O8+'Storm Lake'!O8+HSEMD!I8</f>
        <v>75342.442173913034</v>
      </c>
      <c r="F7" s="33">
        <f t="shared" si="0"/>
        <v>3944988.3460041415</v>
      </c>
    </row>
    <row r="8" spans="1:6" x14ac:dyDescent="0.25">
      <c r="A8" s="21">
        <v>43101</v>
      </c>
      <c r="B8" s="33">
        <f>'Dubuque Housing'!E10+'Dubuque Housing'!I10+'Dubuque Housing'!M10</f>
        <v>353216.30434782617</v>
      </c>
      <c r="C8" s="257">
        <f>Benton!I9+'Buena Vista'!I9+Fremont!I10+Howard!I10+Iowa!I10+Johnson!I9+Mills!I9+Winneshiek!I10+'Coralville Infra'!E9+'Dubuque Infra'!J9+'Storm Lake'!E9+'Storm Lake'!J9</f>
        <v>2977730.444202899</v>
      </c>
      <c r="D8" s="33">
        <f>Benton!E9+'Buena Vista'!E9+Fremont!E10+Howard!E10+Iowa!E10+Johnson!E9+Mills!E9+Winneshiek!E10+'Dubuque Infra'!E9+HSEMD!E9+'Univ of Iowa'!E9+'Iowa DNR'!E9+'Univ of N Iowa'!E9+'Iowa State Univ'!E9+IDALS!E9</f>
        <v>538699.15527950309</v>
      </c>
      <c r="E8" s="33">
        <f>'Dubuque Housing'!Q10+Benton!M9+'Buena Vista'!M9+Fremont!M10+Howard!M10+Iowa!M10+Johnson!M9+Mills!M9+Winneshiek!M10+'Coralville Infra'!J9+'Dubuque Infra'!O9+'Storm Lake'!O9+HSEMD!I9</f>
        <v>75342.442173913034</v>
      </c>
      <c r="F8" s="33">
        <f t="shared" si="0"/>
        <v>3944988.3460041415</v>
      </c>
    </row>
    <row r="9" spans="1:6" x14ac:dyDescent="0.25">
      <c r="A9" s="21">
        <v>43191</v>
      </c>
      <c r="B9" s="33">
        <f>'Dubuque Housing'!E11+'Dubuque Housing'!I11+'Dubuque Housing'!M11</f>
        <v>353216.30434782617</v>
      </c>
      <c r="C9" s="257">
        <f>Benton!I10+'Buena Vista'!I10+Fremont!I11+Howard!I11+Iowa!I11+Johnson!I10+Mills!I10+Winneshiek!I11+'Coralville Infra'!E10+'Dubuque Infra'!J10+'Storm Lake'!E10+'Storm Lake'!J10</f>
        <v>2977730.444202899</v>
      </c>
      <c r="D9" s="33">
        <f>Benton!E10+'Buena Vista'!E10+Fremont!E11+Howard!E11+Iowa!E11+Johnson!E10+Mills!E10+Winneshiek!E11+'Dubuque Infra'!E10+HSEMD!E10+'Univ of Iowa'!E10+'Iowa DNR'!E10+'Univ of N Iowa'!E10+'Iowa State Univ'!E10+IDALS!E10</f>
        <v>538699.15527950309</v>
      </c>
      <c r="E9" s="33">
        <f>'Dubuque Housing'!Q11+Benton!M10+'Buena Vista'!M10+Fremont!M11+Howard!M11+Iowa!M11+Johnson!M10+Mills!M10+Winneshiek!M11+'Coralville Infra'!J10+'Dubuque Infra'!O10+'Storm Lake'!O10+HSEMD!I10</f>
        <v>75342.442173913034</v>
      </c>
      <c r="F9" s="33">
        <f t="shared" si="0"/>
        <v>3944988.3460041415</v>
      </c>
    </row>
    <row r="10" spans="1:6" x14ac:dyDescent="0.25">
      <c r="A10" s="21">
        <v>43282</v>
      </c>
      <c r="B10" s="33">
        <f>'Dubuque Housing'!E12+'Dubuque Housing'!I12+'Dubuque Housing'!M12</f>
        <v>353216.30434782617</v>
      </c>
      <c r="C10" s="257">
        <f>Benton!I11+'Buena Vista'!I11+Fremont!I12+Howard!I12+Iowa!I12+Johnson!I11+Mills!I11+Winneshiek!I12+'Coralville Infra'!E11+'Dubuque Infra'!J11+'Storm Lake'!E11+'Storm Lake'!J11</f>
        <v>2977730.444202899</v>
      </c>
      <c r="D10" s="33">
        <f>Benton!E11+'Buena Vista'!E11+Fremont!E12+Howard!E12+Iowa!E12+Johnson!E11+Mills!E11+Winneshiek!E12+'Dubuque Infra'!E11+HSEMD!E11+'Univ of Iowa'!E11+'Iowa DNR'!E11+'Univ of N Iowa'!E11+'Iowa State Univ'!E11+IDALS!E11</f>
        <v>538699.15527950309</v>
      </c>
      <c r="E10" s="33">
        <f>'Dubuque Housing'!Q12+Benton!M11+'Buena Vista'!M11+Fremont!M12+Howard!M12+Iowa!M12+Johnson!M11+Mills!M11+Winneshiek!M12+'Coralville Infra'!J11+'Dubuque Infra'!O11+'Storm Lake'!O11+HSEMD!I11</f>
        <v>75342.442173913034</v>
      </c>
      <c r="F10" s="33">
        <f t="shared" si="0"/>
        <v>3944988.3460041415</v>
      </c>
    </row>
    <row r="11" spans="1:6" x14ac:dyDescent="0.25">
      <c r="A11" s="21">
        <v>43374</v>
      </c>
      <c r="B11" s="33">
        <f>'Dubuque Housing'!E13+'Dubuque Housing'!I13+'Dubuque Housing'!M13</f>
        <v>353216.30434782617</v>
      </c>
      <c r="C11" s="257">
        <f>Benton!I12+'Buena Vista'!I12+Fremont!I13+Howard!I13+Iowa!I13+Johnson!I12+Mills!I12+Winneshiek!I13+'Coralville Infra'!E12+'Dubuque Infra'!J12+'Storm Lake'!E12+'Storm Lake'!J12</f>
        <v>2977730.444202899</v>
      </c>
      <c r="D11" s="33">
        <f>Benton!E12+'Buena Vista'!E12+Fremont!E13+Howard!E13+Iowa!E13+Johnson!E12+Mills!E12+Winneshiek!E13+'Dubuque Infra'!E12+HSEMD!E12+'Univ of Iowa'!E12+'Iowa DNR'!E12+'Univ of N Iowa'!E12+'Iowa State Univ'!E12+IDALS!E12</f>
        <v>538699.15527950309</v>
      </c>
      <c r="E11" s="33">
        <f>'Dubuque Housing'!Q13+Benton!M12+'Buena Vista'!M12+Fremont!M13+Howard!M13+Iowa!M13+Johnson!M12+Mills!M12+Winneshiek!M13+'Coralville Infra'!J12+'Dubuque Infra'!O12+'Storm Lake'!O12+HSEMD!I12</f>
        <v>75342.442173913034</v>
      </c>
      <c r="F11" s="33">
        <f t="shared" si="0"/>
        <v>3944988.3460041415</v>
      </c>
    </row>
    <row r="12" spans="1:6" x14ac:dyDescent="0.25">
      <c r="A12" s="21">
        <v>43466</v>
      </c>
      <c r="B12" s="33">
        <f>'Dubuque Housing'!E14+'Dubuque Housing'!I14+'Dubuque Housing'!M14</f>
        <v>353216.30434782617</v>
      </c>
      <c r="C12" s="257">
        <f>Benton!I13+'Buena Vista'!I13+Fremont!I14+Howard!I14+Iowa!I14+Johnson!I13+Mills!I13+Winneshiek!I14+'Coralville Infra'!E13+'Dubuque Infra'!J13+'Storm Lake'!E13+'Storm Lake'!J13</f>
        <v>2977730.444202899</v>
      </c>
      <c r="D12" s="33">
        <f>Benton!E13+'Buena Vista'!E13+Fremont!E14+Howard!E14+Iowa!E14+Johnson!E13+Mills!E13+Winneshiek!E14+'Dubuque Infra'!E13+HSEMD!E13+'Univ of Iowa'!E13+'Iowa DNR'!E13+'Univ of N Iowa'!E13+'Iowa State Univ'!E13+IDALS!E13</f>
        <v>538699.15527950309</v>
      </c>
      <c r="E12" s="33">
        <f>'Dubuque Housing'!Q14+Benton!M13+'Buena Vista'!M13+Fremont!M14+Howard!M14+Iowa!M14+Johnson!M13+Mills!M13+Winneshiek!M14+'Coralville Infra'!J13+'Dubuque Infra'!O13+'Storm Lake'!O13+HSEMD!I13</f>
        <v>75342.442173913034</v>
      </c>
      <c r="F12" s="33">
        <f t="shared" si="0"/>
        <v>3944988.3460041415</v>
      </c>
    </row>
    <row r="13" spans="1:6" x14ac:dyDescent="0.25">
      <c r="A13" s="21">
        <v>43556</v>
      </c>
      <c r="B13" s="33">
        <f>'Dubuque Housing'!E15+'Dubuque Housing'!I15+'Dubuque Housing'!M15</f>
        <v>353216.30434782617</v>
      </c>
      <c r="C13" s="257">
        <f>Benton!I14+'Buena Vista'!I14+Fremont!I15+Howard!I15+Iowa!I15+Johnson!I14+Mills!I14+Winneshiek!I15+'Coralville Infra'!E14+'Dubuque Infra'!J14+'Storm Lake'!E14+'Storm Lake'!J14</f>
        <v>2977730.444202899</v>
      </c>
      <c r="D13" s="33">
        <f>Benton!E14+'Buena Vista'!E14+Fremont!E15+Howard!E15+Iowa!E15+Johnson!E14+Mills!E14+Winneshiek!E15+'Dubuque Infra'!E14+HSEMD!E14+'Univ of Iowa'!E14+'Iowa DNR'!E14+'Univ of N Iowa'!E14+'Iowa State Univ'!E14+IDALS!E14</f>
        <v>538699.15527950309</v>
      </c>
      <c r="E13" s="33">
        <f>'Dubuque Housing'!Q15+Benton!M14+'Buena Vista'!M14+Fremont!M15+Howard!M15+Iowa!M15+Johnson!M14+Mills!M14+Winneshiek!M15+'Coralville Infra'!J14+'Dubuque Infra'!O14+'Storm Lake'!O14+HSEMD!I14</f>
        <v>75342.442173913034</v>
      </c>
      <c r="F13" s="33">
        <f t="shared" si="0"/>
        <v>3944988.3460041415</v>
      </c>
    </row>
    <row r="14" spans="1:6" x14ac:dyDescent="0.25">
      <c r="A14" s="21">
        <v>43647</v>
      </c>
      <c r="B14" s="33">
        <f>'Dubuque Housing'!E16+'Dubuque Housing'!I16+'Dubuque Housing'!M16</f>
        <v>353216.30434782617</v>
      </c>
      <c r="C14" s="257">
        <f>Benton!I15+'Buena Vista'!I15+Fremont!I16+Howard!I16+Iowa!I16+Johnson!I15+Mills!I15+Winneshiek!I16+'Coralville Infra'!E15+'Dubuque Infra'!J15+'Storm Lake'!E15+'Storm Lake'!J15</f>
        <v>2977730.444202899</v>
      </c>
      <c r="D14" s="33">
        <f>Benton!E15+'Buena Vista'!E15+Fremont!E16+Howard!E16+Iowa!E16+Johnson!E15+Mills!E15+Winneshiek!E16+'Dubuque Infra'!E15+HSEMD!E15+'Univ of Iowa'!E15+'Iowa DNR'!E15+'Univ of N Iowa'!E15+'Iowa State Univ'!E15+IDALS!E15</f>
        <v>538699.15527950309</v>
      </c>
      <c r="E14" s="33">
        <f>'Dubuque Housing'!Q16+Benton!M15+'Buena Vista'!M15+Fremont!M16+Howard!M16+Iowa!M16+Johnson!M15+Mills!M15+Winneshiek!M16+'Coralville Infra'!J15+'Dubuque Infra'!O15+'Storm Lake'!O15+HSEMD!I15</f>
        <v>75342.442173913034</v>
      </c>
      <c r="F14" s="33">
        <f t="shared" si="0"/>
        <v>3944988.3460041415</v>
      </c>
    </row>
    <row r="15" spans="1:6" x14ac:dyDescent="0.25">
      <c r="A15" s="21">
        <v>43739</v>
      </c>
      <c r="B15" s="33">
        <f>'Dubuque Housing'!E17+'Dubuque Housing'!I17+'Dubuque Housing'!M17</f>
        <v>353216.30434782617</v>
      </c>
      <c r="C15" s="257">
        <f>Benton!I16+'Buena Vista'!I16+Fremont!I17+Howard!I17+Iowa!I17+Johnson!I16+Mills!I16+Winneshiek!I17+'Coralville Infra'!E16+'Dubuque Infra'!J16+'Storm Lake'!E16+'Storm Lake'!J16</f>
        <v>2977730.444202899</v>
      </c>
      <c r="D15" s="33">
        <f>Benton!E16+'Buena Vista'!E16+Fremont!E17+Howard!E17+Iowa!E17+Johnson!E16+Mills!E16+Winneshiek!E17+'Dubuque Infra'!E16+HSEMD!E16+'Univ of Iowa'!E16+'Iowa DNR'!E16+'Univ of N Iowa'!E16+'Iowa State Univ'!E16+IDALS!E16</f>
        <v>538699.15527950309</v>
      </c>
      <c r="E15" s="33">
        <f>'Dubuque Housing'!Q17+Benton!M16+'Buena Vista'!M16+Fremont!M17+Howard!M17+Iowa!M17+Johnson!M16+Mills!M16+Winneshiek!M17+'Coralville Infra'!J16+'Dubuque Infra'!O16+'Storm Lake'!O16+HSEMD!I16</f>
        <v>75342.442173913034</v>
      </c>
      <c r="F15" s="33">
        <f t="shared" si="0"/>
        <v>3944988.3460041415</v>
      </c>
    </row>
    <row r="16" spans="1:6" x14ac:dyDescent="0.25">
      <c r="A16" s="21">
        <v>43831</v>
      </c>
      <c r="B16" s="33">
        <f>'Dubuque Housing'!E18+'Dubuque Housing'!I18+'Dubuque Housing'!M18</f>
        <v>353216.30434782617</v>
      </c>
      <c r="C16" s="257">
        <f>Benton!I17+'Buena Vista'!I17+Fremont!I18+Howard!I18+Iowa!I18+Johnson!I17+Mills!I17+Winneshiek!I18+'Coralville Infra'!E17+'Dubuque Infra'!J17+'Storm Lake'!E17+'Storm Lake'!J17</f>
        <v>2977730.444202899</v>
      </c>
      <c r="D16" s="33">
        <f>Benton!E17+'Buena Vista'!E17+Fremont!E18+Howard!E18+Iowa!E18+Johnson!E17+Mills!E17+Winneshiek!E18+'Dubuque Infra'!E17+HSEMD!E17+'Univ of Iowa'!E17+'Iowa DNR'!E17+'Univ of N Iowa'!E17+'Iowa State Univ'!E17+IDALS!E17</f>
        <v>538699.15527950309</v>
      </c>
      <c r="E16" s="33">
        <f>'Dubuque Housing'!Q18+Benton!M17+'Buena Vista'!M17+Fremont!M18+Howard!M18+Iowa!M18+Johnson!M17+Mills!M17+Winneshiek!M18+'Coralville Infra'!J17+'Dubuque Infra'!O17+'Storm Lake'!O17+HSEMD!I17</f>
        <v>75342.442173913034</v>
      </c>
      <c r="F16" s="33">
        <f t="shared" si="0"/>
        <v>3944988.3460041415</v>
      </c>
    </row>
    <row r="17" spans="1:6" x14ac:dyDescent="0.25">
      <c r="A17" s="21">
        <v>43922</v>
      </c>
      <c r="B17" s="33">
        <f>'Dubuque Housing'!E19+'Dubuque Housing'!I19+'Dubuque Housing'!M19</f>
        <v>353216.30434782617</v>
      </c>
      <c r="C17" s="257">
        <f>Benton!I18+'Buena Vista'!I18+Fremont!I19+Howard!I19+Iowa!I19+Johnson!I18+Mills!I18+Winneshiek!I19+'Coralville Infra'!E18+'Dubuque Infra'!J18+'Storm Lake'!E18+'Storm Lake'!J18</f>
        <v>2977730.444202899</v>
      </c>
      <c r="D17" s="33">
        <f>Benton!E18+'Buena Vista'!E18+Fremont!E19+Howard!E19+Iowa!E19+Johnson!E18+Mills!E18+Winneshiek!E19+'Dubuque Infra'!E18+HSEMD!E18+'Univ of Iowa'!E18+'Iowa DNR'!E18+'Univ of N Iowa'!E18+'Iowa State Univ'!E18+IDALS!E18</f>
        <v>538699.15527950309</v>
      </c>
      <c r="E17" s="33">
        <f>'Dubuque Housing'!Q19+Benton!M18+'Buena Vista'!M18+Fremont!M19+Howard!M19+Iowa!M19+Johnson!M18+Mills!M18+Winneshiek!M19+'Coralville Infra'!J18+'Dubuque Infra'!O18+'Storm Lake'!O18+HSEMD!I18</f>
        <v>75342.442173913034</v>
      </c>
      <c r="F17" s="33">
        <f t="shared" si="0"/>
        <v>3944988.3460041415</v>
      </c>
    </row>
    <row r="18" spans="1:6" x14ac:dyDescent="0.25">
      <c r="A18" s="21">
        <v>44013</v>
      </c>
      <c r="B18" s="33">
        <f>'Dubuque Housing'!E20+'Dubuque Housing'!I20+'Dubuque Housing'!M20</f>
        <v>353216.30434782617</v>
      </c>
      <c r="C18" s="257">
        <f>Benton!I19+'Buena Vista'!I19+Fremont!I20+Howard!I20+Iowa!I20+Johnson!I19+Mills!I19+Winneshiek!I20+'Coralville Infra'!E19+'Dubuque Infra'!J19+'Storm Lake'!E19+'Storm Lake'!J19</f>
        <v>2977730.444202899</v>
      </c>
      <c r="D18" s="33">
        <f>Benton!E19+'Buena Vista'!E19+Fremont!E20+Howard!E20+Iowa!E20+Johnson!E19+Mills!E19+Winneshiek!E20+'Dubuque Infra'!E19+HSEMD!E19+'Univ of Iowa'!E19+'Iowa DNR'!E19+'Univ of N Iowa'!E19+'Iowa State Univ'!E19+IDALS!E19</f>
        <v>538699.15527950309</v>
      </c>
      <c r="E18" s="33">
        <f>'Dubuque Housing'!Q20+Benton!M19+'Buena Vista'!M19+Fremont!M20+Howard!M20+Iowa!M20+Johnson!M19+Mills!M19+Winneshiek!M20+'Coralville Infra'!J19+'Dubuque Infra'!O19+'Storm Lake'!O19+HSEMD!I19</f>
        <v>75342.442173913034</v>
      </c>
      <c r="F18" s="33">
        <f t="shared" si="0"/>
        <v>3944988.3460041415</v>
      </c>
    </row>
    <row r="19" spans="1:6" x14ac:dyDescent="0.25">
      <c r="A19" s="21">
        <v>44105</v>
      </c>
      <c r="B19" s="33">
        <f>'Dubuque Housing'!E21+'Dubuque Housing'!I21+'Dubuque Housing'!M21</f>
        <v>353216.30434782617</v>
      </c>
      <c r="C19" s="257">
        <f>Benton!I20+'Buena Vista'!I20+Fremont!I21+Howard!I21+Iowa!I21+Johnson!I20+Mills!I20+Winneshiek!I21+'Coralville Infra'!E20+'Dubuque Infra'!J20+'Storm Lake'!E20+'Storm Lake'!J20</f>
        <v>2977730.444202899</v>
      </c>
      <c r="D19" s="33">
        <f>Benton!E20+'Buena Vista'!E20+Fremont!E21+Howard!E21+Iowa!E21+Johnson!E20+Mills!E20+Winneshiek!E21+'Dubuque Infra'!E20+HSEMD!E20+'Univ of Iowa'!E20+'Iowa DNR'!E20+'Univ of N Iowa'!E20+'Iowa State Univ'!E20+IDALS!E20</f>
        <v>538699.15527950309</v>
      </c>
      <c r="E19" s="33">
        <f>'Dubuque Housing'!Q21+Benton!M20+'Buena Vista'!M20+Fremont!M21+Howard!M21+Iowa!M21+Johnson!M20+Mills!M20+Winneshiek!M21+'Coralville Infra'!J20+'Dubuque Infra'!O20+'Storm Lake'!O20+HSEMD!I20</f>
        <v>75342.442173913034</v>
      </c>
      <c r="F19" s="33">
        <f t="shared" si="0"/>
        <v>3944988.3460041415</v>
      </c>
    </row>
    <row r="20" spans="1:6" x14ac:dyDescent="0.25">
      <c r="A20" s="21">
        <v>44197</v>
      </c>
      <c r="B20" s="33">
        <f>'Dubuque Housing'!E22+'Dubuque Housing'!I22+'Dubuque Housing'!M22</f>
        <v>353216.30434782617</v>
      </c>
      <c r="C20" s="257">
        <f>Benton!I21+'Buena Vista'!I21+Fremont!I22+Howard!I22+Iowa!I22+Johnson!I21+Mills!I21+Winneshiek!I22+'Coralville Infra'!E21+'Dubuque Infra'!J21+'Storm Lake'!E21+'Storm Lake'!J21</f>
        <v>2977730.444202899</v>
      </c>
      <c r="D20" s="33">
        <f>Benton!E21+'Buena Vista'!E21+Fremont!E22+Howard!E22+Iowa!E22+Johnson!E21+Mills!E21+Winneshiek!E22+'Dubuque Infra'!E21+HSEMD!E21+'Univ of Iowa'!E21+'Iowa DNR'!E21+'Univ of N Iowa'!E21+'Iowa State Univ'!E21+IDALS!E21</f>
        <v>538699.15527950309</v>
      </c>
      <c r="E20" s="33">
        <f>'Dubuque Housing'!Q22+Benton!M21+'Buena Vista'!M21+Fremont!M22+Howard!M22+Iowa!M22+Johnson!M21+Mills!M21+Winneshiek!M22+'Coralville Infra'!J21+'Dubuque Infra'!O21+'Storm Lake'!O21+HSEMD!I21</f>
        <v>75342.442173913034</v>
      </c>
      <c r="F20" s="33">
        <f t="shared" si="0"/>
        <v>3944988.3460041415</v>
      </c>
    </row>
    <row r="21" spans="1:6" x14ac:dyDescent="0.25">
      <c r="A21" s="21">
        <v>44287</v>
      </c>
      <c r="B21" s="33">
        <f>'Dubuque Housing'!E23+'Dubuque Housing'!I23+'Dubuque Housing'!M23</f>
        <v>353216.30434782617</v>
      </c>
      <c r="C21" s="257">
        <f>Benton!I22+'Buena Vista'!I22+Fremont!I23+Howard!I23+Iowa!I23+Johnson!I22+Mills!I22+Winneshiek!I23+'Coralville Infra'!E22+'Dubuque Infra'!J22+'Storm Lake'!E22+'Storm Lake'!J22</f>
        <v>2977730.444202899</v>
      </c>
      <c r="D21" s="33">
        <f>Benton!E22+'Buena Vista'!E22+Fremont!E23+Howard!E23+Iowa!E23+Johnson!E22+Mills!E22+Winneshiek!E23+'Dubuque Infra'!E22+HSEMD!E22+'Univ of Iowa'!E22+'Iowa DNR'!E22+'Univ of N Iowa'!E22+'Iowa State Univ'!E22+IDALS!E22</f>
        <v>538699.15527950309</v>
      </c>
      <c r="E21" s="33">
        <f>'Dubuque Housing'!Q23+Benton!M22+'Buena Vista'!M22+Fremont!M23+Howard!M23+Iowa!M23+Johnson!M22+Mills!M22+Winneshiek!M23+'Coralville Infra'!J22+'Dubuque Infra'!O22+'Storm Lake'!O22+HSEMD!I22</f>
        <v>75342.442173913034</v>
      </c>
      <c r="F21" s="33">
        <f t="shared" si="0"/>
        <v>3944988.3460041415</v>
      </c>
    </row>
    <row r="22" spans="1:6" x14ac:dyDescent="0.25">
      <c r="A22" s="21">
        <v>44378</v>
      </c>
      <c r="B22" s="33">
        <f>'Dubuque Housing'!E24+'Dubuque Housing'!I24+'Dubuque Housing'!M24</f>
        <v>353216.30434782617</v>
      </c>
      <c r="C22" s="257">
        <f>Benton!I23+'Buena Vista'!I23+Fremont!I24+Howard!I24+Iowa!I24+Johnson!I23+Mills!I23+Winneshiek!I24+'Coralville Infra'!E23+'Dubuque Infra'!J23+'Storm Lake'!E23+'Storm Lake'!J23</f>
        <v>2977730.444202899</v>
      </c>
      <c r="D22" s="33">
        <f>Benton!E23+'Buena Vista'!E23+Fremont!E24+Howard!E24+Iowa!E24+Johnson!E23+Mills!E23+Winneshiek!E24+'Dubuque Infra'!E23+HSEMD!E23+'Univ of Iowa'!E23+'Iowa DNR'!E23+'Univ of N Iowa'!E23+'Iowa State Univ'!E23+IDALS!E23</f>
        <v>538699.15527950309</v>
      </c>
      <c r="E22" s="33">
        <f>'Dubuque Housing'!Q24+Benton!M23+'Buena Vista'!M23+Fremont!M24+Howard!M24+Iowa!M24+Johnson!M23+Mills!M23+Winneshiek!M24+'Coralville Infra'!J23+'Dubuque Infra'!O23+'Storm Lake'!O23+HSEMD!I23</f>
        <v>75342.442173913034</v>
      </c>
      <c r="F22" s="33">
        <f t="shared" si="0"/>
        <v>3944988.3460041415</v>
      </c>
    </row>
    <row r="23" spans="1:6" x14ac:dyDescent="0.25">
      <c r="A23" s="21">
        <v>44470</v>
      </c>
      <c r="B23" s="33">
        <f>'Dubuque Housing'!E25+'Dubuque Housing'!I25+'Dubuque Housing'!M25</f>
        <v>353216.30434782617</v>
      </c>
      <c r="C23" s="257">
        <f>Benton!I24+'Buena Vista'!I24+Fremont!I25+Howard!I25+Iowa!I25+Johnson!I24+Mills!I24+Winneshiek!I25+'Coralville Infra'!E24+'Dubuque Infra'!J24+'Storm Lake'!E24+'Storm Lake'!J24</f>
        <v>2885990.444202899</v>
      </c>
      <c r="D23" s="33">
        <f>Benton!E24+'Buena Vista'!E24+Fremont!E25+Howard!E25+Iowa!E25+Johnson!E24+Mills!E24+Winneshiek!E25+'Dubuque Infra'!E24+HSEMD!E24+'Univ of Iowa'!E24+'Iowa DNR'!E24+'Univ of N Iowa'!E24+'Iowa State Univ'!E24+IDALS!E24</f>
        <v>538699.15527950309</v>
      </c>
      <c r="E23" s="33">
        <f>'Dubuque Housing'!Q25+Benton!M24+'Buena Vista'!M24+Fremont!M25+Howard!M25+Iowa!M25+Johnson!M24+Mills!M24+Winneshiek!M25+'Coralville Infra'!J24+'Dubuque Infra'!O24+'Storm Lake'!O24+HSEMD!I24</f>
        <v>73889.142173913046</v>
      </c>
      <c r="F23" s="33">
        <f t="shared" si="0"/>
        <v>3851795.0460041412</v>
      </c>
    </row>
    <row r="24" spans="1:6" x14ac:dyDescent="0.25">
      <c r="A24" s="21">
        <v>44562</v>
      </c>
      <c r="B24" s="33">
        <f>'Dubuque Housing'!E26+'Dubuque Housing'!I26+'Dubuque Housing'!M26</f>
        <v>353216.30434782617</v>
      </c>
      <c r="C24" s="257">
        <f>Benton!I25+'Buena Vista'!I25+Fremont!I26+Howard!I26+Iowa!I26+Johnson!I25+Mills!I25+Winneshiek!I26+'Coralville Infra'!E25+'Dubuque Infra'!J25+'Storm Lake'!E25+'Storm Lake'!J25</f>
        <v>2885990.444202899</v>
      </c>
      <c r="D24" s="33">
        <f>Benton!E25+'Buena Vista'!E25+Fremont!E26+Howard!E26+Iowa!E26+Johnson!E25+Mills!E25+Winneshiek!E26+'Dubuque Infra'!E25+HSEMD!E25+'Univ of Iowa'!E25+'Iowa DNR'!E25+'Univ of N Iowa'!E25+'Iowa State Univ'!E25+IDALS!E25</f>
        <v>527984.86956521741</v>
      </c>
      <c r="E24" s="33">
        <f>'Dubuque Housing'!Q26+Benton!M25+'Buena Vista'!M25+Fremont!M26+Howard!M26+Iowa!M26+Johnson!M25+Mills!M25+Winneshiek!M26+'Coralville Infra'!J25+'Dubuque Infra'!O25+'Storm Lake'!O25+HSEMD!I25</f>
        <v>73889.142173913046</v>
      </c>
      <c r="F24" s="33">
        <f t="shared" si="0"/>
        <v>3841080.7602898553</v>
      </c>
    </row>
    <row r="25" spans="1:6" x14ac:dyDescent="0.25">
      <c r="A25" s="21">
        <v>44652</v>
      </c>
      <c r="B25" s="33">
        <f>'Dubuque Housing'!E27+'Dubuque Housing'!I27+'Dubuque Housing'!M27</f>
        <v>353216.30434782617</v>
      </c>
      <c r="C25" s="257">
        <f>Benton!I26+'Buena Vista'!I26+Fremont!I27+Howard!I27+Iowa!I27+Johnson!I26+Mills!I26+Winneshiek!I27+'Coralville Infra'!E26+'Dubuque Infra'!J26+'Storm Lake'!E26+'Storm Lake'!J26</f>
        <v>2885990.444202899</v>
      </c>
      <c r="D25" s="33">
        <f>Benton!E26+'Buena Vista'!E26+Fremont!E27+Howard!E27+Iowa!E27+Johnson!E26+Mills!E26+Winneshiek!E27+'Dubuque Infra'!E26+HSEMD!E26+'Univ of Iowa'!E26+'Iowa DNR'!E26+'Univ of N Iowa'!E26+'Iowa State Univ'!E26+IDALS!E26</f>
        <v>527984.86956521741</v>
      </c>
      <c r="E25" s="33">
        <f>'Dubuque Housing'!Q27+Benton!M26+'Buena Vista'!M26+Fremont!M27+Howard!M27+Iowa!M27+Johnson!M26+Mills!M26+Winneshiek!M27+'Coralville Infra'!J26+'Dubuque Infra'!O26+'Storm Lake'!O26+HSEMD!I26</f>
        <v>73889.142173912987</v>
      </c>
      <c r="F25" s="33">
        <f t="shared" si="0"/>
        <v>3841080.7602898553</v>
      </c>
    </row>
    <row r="26" spans="1:6" x14ac:dyDescent="0.25">
      <c r="A26" s="21">
        <v>44743</v>
      </c>
      <c r="B26" s="33">
        <v>0</v>
      </c>
      <c r="C26" s="257">
        <f>Benton!I27+'Buena Vista'!I27+Fremont!I28+Howard!I28+Iowa!I28+Johnson!I27+Mills!I27+Winneshiek!I28+'Coralville Infra'!E27+'Dubuque Infra'!J27+'Storm Lake'!E27+'Storm Lake'!J27</f>
        <v>1471246.1833333333</v>
      </c>
      <c r="D26" s="33">
        <f>Benton!E27+'Buena Vista'!E27+Fremont!E28+Howard!E28+Iowa!E28+Johnson!E27+Mills!E27+Winneshiek!E28+'Dubuque Infra'!E27+HSEMD!E27+'Univ of Iowa'!E27+'Iowa DNR'!E27+'Univ of N Iowa'!E27+'Iowa State Univ'!E27+IDALS!E27</f>
        <v>498713</v>
      </c>
      <c r="E26" s="33">
        <f>'Dubuque Housing'!Q28+Benton!M27+'Buena Vista'!M27+Fremont!M28+Howard!M28+Iowa!M28+Johnson!M27+Mills!M27+Winneshiek!M28+'Coralville Infra'!J27+'Dubuque Infra'!O27+'Storm Lake'!O27+HSEMD!I27</f>
        <v>41997.490000000005</v>
      </c>
      <c r="F26" s="33">
        <f t="shared" si="0"/>
        <v>2011956.6733333333</v>
      </c>
    </row>
    <row r="27" spans="1:6" x14ac:dyDescent="0.25">
      <c r="A27" s="21">
        <v>44835</v>
      </c>
      <c r="B27" s="258">
        <v>0</v>
      </c>
      <c r="C27" s="257">
        <f>Benton!I28+'Buena Vista'!I28+Fremont!I29+Howard!I29+Iowa!I29+Johnson!I28+Mills!I28+Winneshiek!I29+'Coralville Infra'!E28+'Dubuque Infra'!J28+'Storm Lake'!E28+'Storm Lake'!J28</f>
        <v>617511.6</v>
      </c>
      <c r="D27" s="33">
        <f>Benton!E28+'Buena Vista'!E28+Fremont!E29+Howard!E29+Iowa!E29+Johnson!E28+Mills!E28+Winneshiek!E29+'Dubuque Infra'!E28+HSEMD!E28+'Univ of Iowa'!E28+'Iowa DNR'!E28+'Univ of N Iowa'!E28+'Iowa State Univ'!E28+IDALS!E28</f>
        <v>473713</v>
      </c>
      <c r="E27" s="33">
        <f>'Dubuque Housing'!Q29+Benton!M28+'Buena Vista'!M28+Fremont!M29+Howard!M29+Iowa!M29+Johnson!M28+Mills!M28+Winneshiek!M29+'Coralville Infra'!J28+'Dubuque Infra'!O28+'Storm Lake'!O28+HSEMD!I28</f>
        <v>494112.24</v>
      </c>
      <c r="F27" s="258">
        <f t="shared" si="0"/>
        <v>1585336.84</v>
      </c>
    </row>
    <row r="28" spans="1:6" x14ac:dyDescent="0.25">
      <c r="A28" s="21">
        <v>44927</v>
      </c>
      <c r="B28" s="258">
        <v>0</v>
      </c>
      <c r="C28" s="257">
        <f>Benton!I29+'Buena Vista'!I29+Fremont!I30+Howard!I30+Iowa!I30+Johnson!I29+Mills!I29+Winneshiek!I30+'Coralville Infra'!E29+'Dubuque Infra'!J29+'Storm Lake'!E29+'Storm Lake'!J29</f>
        <v>0</v>
      </c>
      <c r="D28" s="33">
        <f>Benton!E29+'Buena Vista'!E29+Fremont!E30+Howard!E30+Iowa!E30+Johnson!E29+Mills!E29+Winneshiek!E30+'Dubuque Infra'!E29+HSEMD!E29+'Univ of Iowa'!E29+'Iowa DNR'!E29+'Univ of N Iowa'!E29+'Iowa State Univ'!E29+IDALS!E29</f>
        <v>0</v>
      </c>
      <c r="E28" s="33">
        <f>'Dubuque Housing'!Q30+Benton!M29+'Buena Vista'!M29+Fremont!M30+Howard!M30+Iowa!M30+Johnson!M29+Mills!M29+Winneshiek!M30+'Coralville Infra'!J29+'Dubuque Infra'!O29+'Storm Lake'!O29+HSEMD!I29</f>
        <v>0</v>
      </c>
      <c r="F28" s="258">
        <f t="shared" si="0"/>
        <v>0</v>
      </c>
    </row>
    <row r="29" spans="1:6" x14ac:dyDescent="0.25">
      <c r="A29" s="259" t="s">
        <v>28</v>
      </c>
      <c r="B29" s="260">
        <f>SUM(B3:B28)</f>
        <v>8123975.0000000019</v>
      </c>
      <c r="C29" s="260">
        <f t="shared" ref="C29:E29" si="1">SUM(C3:C28)</f>
        <v>70301338.000000015</v>
      </c>
      <c r="D29" s="260">
        <f t="shared" si="1"/>
        <v>13341077.999999994</v>
      </c>
      <c r="E29" s="260">
        <f t="shared" si="1"/>
        <v>2264626</v>
      </c>
      <c r="F29" s="260">
        <f>SUM(F3:F28)</f>
        <v>94031017.000000045</v>
      </c>
    </row>
    <row r="31" spans="1:6" x14ac:dyDescent="0.25">
      <c r="E31" s="31"/>
    </row>
  </sheetData>
  <mergeCells count="1">
    <mergeCell ref="A1:F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96F7F-1309-4DEE-B603-D185FED37C9D}">
  <dimension ref="A1:F29"/>
  <sheetViews>
    <sheetView workbookViewId="0">
      <selection activeCell="H9" sqref="H9"/>
    </sheetView>
  </sheetViews>
  <sheetFormatPr defaultRowHeight="15" x14ac:dyDescent="0.25"/>
  <cols>
    <col min="1" max="1" width="9.7109375" bestFit="1" customWidth="1"/>
    <col min="2" max="2" width="24.42578125" customWidth="1"/>
    <col min="3" max="3" width="22.85546875" customWidth="1"/>
    <col min="4" max="4" width="21.5703125" customWidth="1"/>
    <col min="5" max="5" width="21.140625" customWidth="1"/>
    <col min="6" max="6" width="19.85546875" customWidth="1"/>
  </cols>
  <sheetData>
    <row r="1" spans="1:6" x14ac:dyDescent="0.25">
      <c r="A1" s="383" t="s">
        <v>22</v>
      </c>
      <c r="B1" s="383"/>
      <c r="C1" s="383"/>
      <c r="D1" s="383"/>
      <c r="E1" s="383"/>
      <c r="F1" s="383"/>
    </row>
    <row r="2" spans="1:6" x14ac:dyDescent="0.25">
      <c r="A2" s="32"/>
      <c r="B2" s="322" t="s">
        <v>23</v>
      </c>
      <c r="C2" s="322" t="s">
        <v>24</v>
      </c>
      <c r="D2" s="322" t="s">
        <v>25</v>
      </c>
      <c r="E2" s="322" t="s">
        <v>26</v>
      </c>
      <c r="F2" s="322" t="s">
        <v>27</v>
      </c>
    </row>
    <row r="3" spans="1:6" x14ac:dyDescent="0.25">
      <c r="A3" s="21">
        <v>42644</v>
      </c>
      <c r="B3" s="33">
        <f>'Dubuque Housing'!G5+'Dubuque Housing'!K5+'Dubuque Housing'!O5</f>
        <v>0</v>
      </c>
      <c r="C3" s="257">
        <f>Benton!K4+'Buena Vista'!K4+Fremont!K5+Howard!K5+Iowa!K5+Johnson!K4+Mills!K4+Winneshiek!K5+'Coralville Infra'!G4+'Dubuque Infra'!L4+'Storm Lake'!G4+'Storm Lake'!L4</f>
        <v>0</v>
      </c>
      <c r="D3" s="33">
        <f>Benton!G4+'Buena Vista'!G4+Fremont!G5+Howard!G5+Iowa!G5+Johnson!G4+Mills!G4+Winneshiek!G5+'Dubuque Infra'!G4+HSEMD!G4+'Univ of Iowa'!G4+'Iowa DNR'!G4+'Univ of N Iowa'!G4+'Iowa State Univ'!G4+IDALS!G4</f>
        <v>0</v>
      </c>
      <c r="E3" s="33">
        <f>'Dubuque Housing'!S5+Benton!O4+'Buena Vista'!O4+Fremont!O5+Howard!O5+Iowa!O5+Johnson!O4+Mills!O4+Winneshiek!O5+'Coralville Infra'!L4+'Dubuque Infra'!Q4+'Storm Lake'!Q4+HSEMD!K4</f>
        <v>0</v>
      </c>
      <c r="F3" s="33">
        <f t="shared" ref="F3:F28" si="0">SUM(B3:E3)</f>
        <v>0</v>
      </c>
    </row>
    <row r="4" spans="1:6" x14ac:dyDescent="0.25">
      <c r="A4" s="21">
        <v>42736</v>
      </c>
      <c r="B4" s="33">
        <f>'Dubuque Housing'!G6+'Dubuque Housing'!K6+'Dubuque Housing'!O6</f>
        <v>0</v>
      </c>
      <c r="C4" s="257">
        <f>Benton!K5+'Buena Vista'!K5+Fremont!K6+Howard!K6+Iowa!K6+Johnson!K5+Mills!K5+Winneshiek!K6+'Coralville Infra'!G5+'Dubuque Infra'!L5+'Storm Lake'!G5+'Storm Lake'!L5</f>
        <v>24702</v>
      </c>
      <c r="D4" s="33">
        <f>Benton!G5+'Buena Vista'!G5+Fremont!G6+Howard!G6+Iowa!G6+Johnson!G5+Mills!G5+Winneshiek!G6+'Dubuque Infra'!G5+HSEMD!G5+'Univ of Iowa'!G5+'Iowa DNR'!G5+'Univ of N Iowa'!G5+'Iowa State Univ'!G5+IDALS!G5</f>
        <v>155816</v>
      </c>
      <c r="E4" s="33">
        <f>'Dubuque Housing'!S6+Benton!O5+'Buena Vista'!O5+Fremont!O6+Howard!O6+Iowa!O6+Johnson!O5+Mills!O5+Winneshiek!O6+'Coralville Infra'!L5+'Dubuque Infra'!Q5+'Storm Lake'!Q5+HSEMD!K5</f>
        <v>183017</v>
      </c>
      <c r="F4" s="33">
        <f t="shared" si="0"/>
        <v>363535</v>
      </c>
    </row>
    <row r="5" spans="1:6" x14ac:dyDescent="0.25">
      <c r="A5" s="21">
        <v>42826</v>
      </c>
      <c r="B5" s="33">
        <f>'Dubuque Housing'!G7+'Dubuque Housing'!K7+'Dubuque Housing'!O7</f>
        <v>0</v>
      </c>
      <c r="C5" s="257">
        <f>Benton!K6+'Buena Vista'!K6+Fremont!K7+Howard!K7+Iowa!K7+Johnson!K6+Mills!K6+Winneshiek!K7+'Coralville Infra'!G6+'Dubuque Infra'!L6+'Storm Lake'!G6+'Storm Lake'!L6</f>
        <v>218770</v>
      </c>
      <c r="D5" s="33">
        <f>Benton!G6+'Buena Vista'!G6+Fremont!G7+Howard!G7+Iowa!G7+Johnson!G6+Mills!G6+Winneshiek!G7+'Dubuque Infra'!G6+HSEMD!G6+'Univ of Iowa'!G6+'Iowa DNR'!G6+'Univ of N Iowa'!G6+'Iowa State Univ'!G6+IDALS!G6</f>
        <v>963712</v>
      </c>
      <c r="E5" s="33">
        <f>'Dubuque Housing'!S7+Benton!O6+'Buena Vista'!O6+Fremont!O7+Howard!O7+Iowa!O7+Johnson!O6+Mills!O6+Winneshiek!O7+'Coralville Infra'!L6+'Dubuque Infra'!Q6+'Storm Lake'!Q6+HSEMD!K6</f>
        <v>133910</v>
      </c>
      <c r="F5" s="33">
        <f t="shared" si="0"/>
        <v>1316392</v>
      </c>
    </row>
    <row r="6" spans="1:6" x14ac:dyDescent="0.25">
      <c r="A6" s="21">
        <v>42917</v>
      </c>
      <c r="B6" s="33">
        <f>'Dubuque Housing'!G8+'Dubuque Housing'!K8+'Dubuque Housing'!O8</f>
        <v>0</v>
      </c>
      <c r="C6" s="257">
        <f>Benton!K7+'Buena Vista'!K7+Fremont!K8+Howard!K8+Iowa!K8+Johnson!K7+Mills!K7+Winneshiek!K8+'Coralville Infra'!G7+'Dubuque Infra'!L7+'Storm Lake'!G7+'Storm Lake'!L7</f>
        <v>1194228</v>
      </c>
      <c r="D6" s="33">
        <f>Benton!G7+'Buena Vista'!G7+Fremont!G8+Howard!G8+Iowa!G8+Johnson!G7+Mills!G7+Winneshiek!G8+'Dubuque Infra'!G7+HSEMD!G7+'Univ of Iowa'!G7+'Iowa DNR'!G7+'Univ of N Iowa'!G7+'Iowa State Univ'!G7+IDALS!G7</f>
        <v>1096799</v>
      </c>
      <c r="E6" s="33">
        <f>'Dubuque Housing'!S8+Benton!O7+'Buena Vista'!O7+Fremont!O8+Howard!O8+Iowa!O8+Johnson!O7+Mills!O7+Winneshiek!O8+'Coralville Infra'!L7+'Dubuque Infra'!Q7+'Storm Lake'!Q7+HSEMD!K7</f>
        <v>84299</v>
      </c>
      <c r="F6" s="33">
        <f t="shared" si="0"/>
        <v>2375326</v>
      </c>
    </row>
    <row r="7" spans="1:6" x14ac:dyDescent="0.25">
      <c r="A7" s="21">
        <v>43009</v>
      </c>
      <c r="B7" s="33">
        <f>'Dubuque Housing'!G9+'Dubuque Housing'!K9+'Dubuque Housing'!O9</f>
        <v>0</v>
      </c>
      <c r="C7" s="257">
        <f>Benton!K8+'Buena Vista'!K8+Fremont!K9+Howard!K9+Iowa!K9+Johnson!K8+Mills!K8+Winneshiek!K9+'Coralville Infra'!G8+'Dubuque Infra'!L8+'Storm Lake'!G8+'Storm Lake'!L8</f>
        <v>1666396</v>
      </c>
      <c r="D7" s="33">
        <f>Benton!G8+'Buena Vista'!G8+Fremont!G9+Howard!G9+Iowa!G9+Johnson!G8+Mills!G8+Winneshiek!G9+'Dubuque Infra'!G8+HSEMD!G8+'Univ of Iowa'!G8+'Iowa DNR'!G8+'Univ of N Iowa'!G8+'Iowa State Univ'!G8+IDALS!G8</f>
        <v>824135</v>
      </c>
      <c r="E7" s="33">
        <f>'Dubuque Housing'!S9+Benton!O8+'Buena Vista'!O8+Fremont!O9+Howard!O9+Iowa!O9+Johnson!O8+Mills!O8+Winneshiek!O9+'Coralville Infra'!L8+'Dubuque Infra'!Q8+'Storm Lake'!Q8+HSEMD!K8</f>
        <v>113532</v>
      </c>
      <c r="F7" s="33">
        <f t="shared" si="0"/>
        <v>2604063</v>
      </c>
    </row>
    <row r="8" spans="1:6" x14ac:dyDescent="0.25">
      <c r="A8" s="21">
        <v>43101</v>
      </c>
      <c r="B8" s="33">
        <f>'Dubuque Housing'!G10+'Dubuque Housing'!K10+'Dubuque Housing'!O10</f>
        <v>0</v>
      </c>
      <c r="C8" s="257">
        <f>Benton!K9+'Buena Vista'!K9+Fremont!K10+Howard!K10+Iowa!K10+Johnson!K9+Mills!K9+Winneshiek!K10+'Coralville Infra'!G9+'Dubuque Infra'!L9+'Storm Lake'!G9+'Storm Lake'!L9</f>
        <v>2164402</v>
      </c>
      <c r="D8" s="33">
        <f>Benton!G9+'Buena Vista'!G9+Fremont!G10+Howard!G10+Iowa!G10+Johnson!G9+Mills!G9+Winneshiek!G10+'Dubuque Infra'!G9+HSEMD!G9+'Univ of Iowa'!G9+'Iowa DNR'!G9+'Univ of N Iowa'!G9+'Iowa State Univ'!G9+IDALS!G9</f>
        <v>905744</v>
      </c>
      <c r="E8" s="33">
        <f>'Dubuque Housing'!S10+Benton!O9+'Buena Vista'!O9+Fremont!O10+Howard!O10+Iowa!O10+Johnson!O9+Mills!O9+Winneshiek!O10+'Coralville Infra'!L9+'Dubuque Infra'!Q9+'Storm Lake'!Q9+HSEMD!K9</f>
        <v>51479</v>
      </c>
      <c r="F8" s="33">
        <f t="shared" si="0"/>
        <v>3121625</v>
      </c>
    </row>
    <row r="9" spans="1:6" x14ac:dyDescent="0.25">
      <c r="A9" s="21">
        <v>43191</v>
      </c>
      <c r="B9" s="33">
        <f>'Dubuque Housing'!G11+'Dubuque Housing'!K11+'Dubuque Housing'!O11</f>
        <v>239506</v>
      </c>
      <c r="C9" s="257">
        <f>Benton!K10+'Buena Vista'!K10+Fremont!K11+Howard!K11+Iowa!K11+Johnson!K10+Mills!K10+Winneshiek!K11+'Coralville Infra'!G10+'Dubuque Infra'!L10+'Storm Lake'!G10+'Storm Lake'!L10</f>
        <v>3498531</v>
      </c>
      <c r="D9" s="33">
        <f>Benton!G10+'Buena Vista'!G10+Fremont!G11+Howard!G11+Iowa!G11+Johnson!G10+Mills!G10+Winneshiek!G11+'Dubuque Infra'!G10+HSEMD!G10+'Univ of Iowa'!G10+'Iowa DNR'!G10+'Univ of N Iowa'!G10+'Iowa State Univ'!G10+IDALS!G10</f>
        <v>1144422</v>
      </c>
      <c r="E9" s="33">
        <f>'Dubuque Housing'!S11+Benton!O10+'Buena Vista'!O10+Fremont!O11+Howard!O11+Iowa!O11+Johnson!O10+Mills!O10+Winneshiek!O11+'Coralville Infra'!L10+'Dubuque Infra'!Q10+'Storm Lake'!Q10+HSEMD!K10</f>
        <v>139410</v>
      </c>
      <c r="F9" s="33">
        <f t="shared" si="0"/>
        <v>5021869</v>
      </c>
    </row>
    <row r="10" spans="1:6" x14ac:dyDescent="0.25">
      <c r="A10" s="21">
        <v>43282</v>
      </c>
      <c r="B10" s="33">
        <f>'Dubuque Housing'!G12+'Dubuque Housing'!K12+'Dubuque Housing'!O12</f>
        <v>165144</v>
      </c>
      <c r="C10" s="257">
        <f>Benton!K11+'Buena Vista'!K11+Fremont!K12+Howard!K12+Iowa!K12+Johnson!K11+Mills!K11+Winneshiek!K12+'Coralville Infra'!G11+'Dubuque Infra'!L11+'Storm Lake'!G11+'Storm Lake'!L11</f>
        <v>2778053</v>
      </c>
      <c r="D10" s="33">
        <f>Benton!G11+'Buena Vista'!G11+Fremont!G12+Howard!G12+Iowa!G12+Johnson!G11+Mills!G11+Winneshiek!G12+'Dubuque Infra'!G11+HSEMD!G11+'Univ of Iowa'!G11+'Iowa DNR'!G11+'Univ of N Iowa'!G11+'Iowa State Univ'!G11+IDALS!G11</f>
        <v>870730</v>
      </c>
      <c r="E10" s="33">
        <f>'Dubuque Housing'!S12+Benton!O11+'Buena Vista'!O11+Fremont!O12+Howard!O12+Iowa!O12+Johnson!O11+Mills!O11+Winneshiek!O12+'Coralville Infra'!L11+'Dubuque Infra'!Q11+'Storm Lake'!Q11+HSEMD!K11</f>
        <v>78979</v>
      </c>
      <c r="F10" s="33">
        <f t="shared" si="0"/>
        <v>3892906</v>
      </c>
    </row>
    <row r="11" spans="1:6" x14ac:dyDescent="0.25">
      <c r="A11" s="21">
        <v>43374</v>
      </c>
      <c r="B11" s="33">
        <f>'Dubuque Housing'!G13+'Dubuque Housing'!K13+'Dubuque Housing'!O13</f>
        <v>621214</v>
      </c>
      <c r="C11" s="257">
        <f>Benton!K12+'Buena Vista'!K12+Fremont!K13+Howard!K13+Iowa!K13+Johnson!K12+Mills!K12+Winneshiek!K13+'Coralville Infra'!G12+'Dubuque Infra'!L12+'Storm Lake'!G12+'Storm Lake'!L12</f>
        <v>3710069</v>
      </c>
      <c r="D11" s="33">
        <f>Benton!G12+'Buena Vista'!G12+Fremont!G13+Howard!G13+Iowa!G13+Johnson!G12+Mills!G12+Winneshiek!G13+'Dubuque Infra'!G12+HSEMD!G12+'Univ of Iowa'!G12+'Iowa DNR'!G12+'Univ of N Iowa'!G12+'Iowa State Univ'!G12+IDALS!G12</f>
        <v>766333</v>
      </c>
      <c r="E11" s="33">
        <f>'Dubuque Housing'!S13+Benton!O12+'Buena Vista'!O12+Fremont!O13+Howard!O13+Iowa!O13+Johnson!O12+Mills!O12+Winneshiek!O13+'Coralville Infra'!L12+'Dubuque Infra'!Q12+'Storm Lake'!Q12+HSEMD!K12</f>
        <v>72978</v>
      </c>
      <c r="F11" s="33">
        <f t="shared" si="0"/>
        <v>5170594</v>
      </c>
    </row>
    <row r="12" spans="1:6" x14ac:dyDescent="0.25">
      <c r="A12" s="21">
        <v>43466</v>
      </c>
      <c r="B12" s="33">
        <f>'Dubuque Housing'!G14+'Dubuque Housing'!K14+'Dubuque Housing'!O14</f>
        <v>0</v>
      </c>
      <c r="C12" s="257">
        <f>Benton!K13+'Buena Vista'!K13+Fremont!K14+Howard!K14+Iowa!K14+Johnson!K13+Mills!K13+Winneshiek!K14+'Coralville Infra'!G13+'Dubuque Infra'!L13+'Storm Lake'!G13+'Storm Lake'!L13</f>
        <v>2114102</v>
      </c>
      <c r="D12" s="33">
        <f>Benton!G13+'Buena Vista'!G13+Fremont!G14+Howard!G14+Iowa!G14+Johnson!G13+Mills!G13+Winneshiek!G14+'Dubuque Infra'!G13+HSEMD!G13+'Univ of Iowa'!G13+'Iowa DNR'!G13+'Univ of N Iowa'!G13+'Iowa State Univ'!G13+IDALS!G13</f>
        <v>802064</v>
      </c>
      <c r="E12" s="33">
        <f>'Dubuque Housing'!S14+Benton!O13+'Buena Vista'!O13+Fremont!O14+Howard!O14+Iowa!O14+Johnson!O13+Mills!O13+Winneshiek!O14+'Coralville Infra'!L13+'Dubuque Infra'!Q13+'Storm Lake'!Q13+HSEMD!K13</f>
        <v>69850</v>
      </c>
      <c r="F12" s="33">
        <f t="shared" si="0"/>
        <v>2986016</v>
      </c>
    </row>
    <row r="13" spans="1:6" x14ac:dyDescent="0.25">
      <c r="A13" s="21">
        <v>43556</v>
      </c>
      <c r="B13" s="33">
        <f>'Dubuque Housing'!G15+'Dubuque Housing'!K15+'Dubuque Housing'!O15</f>
        <v>707453</v>
      </c>
      <c r="C13" s="257">
        <f>Benton!K14+'Buena Vista'!K14+Fremont!K15+Howard!K15+Iowa!K15+Johnson!K14+Mills!K14+Winneshiek!K15+'Coralville Infra'!G14+'Dubuque Infra'!L14+'Storm Lake'!G14+'Storm Lake'!L14</f>
        <v>2305244</v>
      </c>
      <c r="D13" s="33">
        <f>Benton!G14+'Buena Vista'!G14+Fremont!G15+Howard!G15+Iowa!G15+Johnson!G14+Mills!G14+Winneshiek!G15+'Dubuque Infra'!G14+HSEMD!G14+'Univ of Iowa'!G14+'Iowa DNR'!G14+'Univ of N Iowa'!G14+'Iowa State Univ'!G14+IDALS!G14</f>
        <v>721560</v>
      </c>
      <c r="E13" s="33">
        <f>'Dubuque Housing'!S15+Benton!O14+'Buena Vista'!O14+Fremont!O15+Howard!O15+Iowa!O15+Johnson!O14+Mills!O14+Winneshiek!O15+'Coralville Infra'!L14+'Dubuque Infra'!Q14+'Storm Lake'!Q14+HSEMD!K14</f>
        <v>71359</v>
      </c>
      <c r="F13" s="33">
        <f t="shared" si="0"/>
        <v>3805616</v>
      </c>
    </row>
    <row r="14" spans="1:6" x14ac:dyDescent="0.25">
      <c r="A14" s="21">
        <v>43647</v>
      </c>
      <c r="B14" s="33">
        <f>'Dubuque Housing'!G16+'Dubuque Housing'!K16+'Dubuque Housing'!O16</f>
        <v>460333</v>
      </c>
      <c r="C14" s="257">
        <f>Benton!K15+'Buena Vista'!K15+Fremont!K16+Howard!K16+Iowa!K16+Johnson!K15+Mills!K15+Winneshiek!K16+'Coralville Infra'!G15+'Dubuque Infra'!L15+'Storm Lake'!G15+'Storm Lake'!L15</f>
        <v>2831446</v>
      </c>
      <c r="D14" s="33">
        <f>Benton!G15+'Buena Vista'!G15+Fremont!G16+Howard!G16+Iowa!G16+Johnson!G15+Mills!G15+Winneshiek!G16+'Dubuque Infra'!G15+HSEMD!G15+'Univ of Iowa'!G15+'Iowa DNR'!G15+'Univ of N Iowa'!G15+'Iowa State Univ'!G15+IDALS!G15</f>
        <v>492281</v>
      </c>
      <c r="E14" s="33">
        <f>'Dubuque Housing'!S16+Benton!O15+'Buena Vista'!O15+Fremont!O16+Howard!O16+Iowa!O16+Johnson!O15+Mills!O15+Winneshiek!O16+'Coralville Infra'!L15+'Dubuque Infra'!Q15+'Storm Lake'!Q15+HSEMD!K15</f>
        <v>52676</v>
      </c>
      <c r="F14" s="33">
        <f t="shared" si="0"/>
        <v>3836736</v>
      </c>
    </row>
    <row r="15" spans="1:6" x14ac:dyDescent="0.25">
      <c r="A15" s="21">
        <v>43739</v>
      </c>
      <c r="B15" s="33">
        <f>'Dubuque Housing'!G17+'Dubuque Housing'!K17+'Dubuque Housing'!O17</f>
        <v>1247602</v>
      </c>
      <c r="C15" s="257">
        <f>Benton!K16+'Buena Vista'!K16+Fremont!K17+Howard!K17+Iowa!K17+Johnson!K16+Mills!K16+Winneshiek!K17+'Coralville Infra'!G16+'Dubuque Infra'!L16+'Storm Lake'!G16+'Storm Lake'!L16</f>
        <v>4269054</v>
      </c>
      <c r="D15" s="33">
        <f>Benton!G16+'Buena Vista'!G16+Fremont!G17+Howard!G17+Iowa!G17+Johnson!G16+Mills!G16+Winneshiek!G17+'Dubuque Infra'!G16+HSEMD!G16+'Univ of Iowa'!G16+'Iowa DNR'!G16+'Univ of N Iowa'!G16+'Iowa State Univ'!G16+IDALS!G16</f>
        <v>745676</v>
      </c>
      <c r="E15" s="33">
        <f>'Dubuque Housing'!S17+Benton!O16+'Buena Vista'!O16+Fremont!O17+Howard!O17+Iowa!O17+Johnson!O16+Mills!O16+Winneshiek!O17+'Coralville Infra'!L16+'Dubuque Infra'!Q16+'Storm Lake'!Q16+HSEMD!K16</f>
        <v>84852</v>
      </c>
      <c r="F15" s="33">
        <f t="shared" si="0"/>
        <v>6347184</v>
      </c>
    </row>
    <row r="16" spans="1:6" x14ac:dyDescent="0.25">
      <c r="A16" s="21">
        <v>43831</v>
      </c>
      <c r="B16" s="33">
        <f>'Dubuque Housing'!G18+'Dubuque Housing'!K18+'Dubuque Housing'!O18</f>
        <v>663988</v>
      </c>
      <c r="C16" s="257">
        <f>Benton!K17+'Buena Vista'!K17+Fremont!K18+Howard!K18+Iowa!K18+Johnson!K17+Mills!K17+Winneshiek!K18+'Coralville Infra'!G17+'Dubuque Infra'!L17+'Storm Lake'!G17+'Storm Lake'!L17</f>
        <v>4587842</v>
      </c>
      <c r="D16" s="33">
        <f>Benton!G17+'Buena Vista'!G17+Fremont!G18+Howard!G18+Iowa!G18+Johnson!G17+Mills!G17+Winneshiek!G18+'Dubuque Infra'!G17+HSEMD!G17+'Univ of Iowa'!G17+'Iowa DNR'!G17+'Univ of N Iowa'!G17+'Iowa State Univ'!G17+IDALS!G17</f>
        <v>446348</v>
      </c>
      <c r="E16" s="33">
        <f>'Dubuque Housing'!S18+Benton!O17+'Buena Vista'!O17+Fremont!O18+Howard!O18+Iowa!O18+Johnson!O17+Mills!O17+Winneshiek!O18+'Coralville Infra'!L17+'Dubuque Infra'!Q17+'Storm Lake'!Q17+HSEMD!K17</f>
        <v>86262</v>
      </c>
      <c r="F16" s="33">
        <f t="shared" si="0"/>
        <v>5784440</v>
      </c>
    </row>
    <row r="17" spans="1:6" x14ac:dyDescent="0.25">
      <c r="A17" s="21">
        <v>43922</v>
      </c>
      <c r="B17" s="33">
        <f>'Dubuque Housing'!G19+'Dubuque Housing'!K19+'Dubuque Housing'!O19</f>
        <v>507649</v>
      </c>
      <c r="C17" s="257">
        <f>Benton!K18+'Buena Vista'!K18+Fremont!K19+Howard!K19+Iowa!K19+Johnson!K18+Mills!K18+Winneshiek!K19+'Coralville Infra'!G18+'Dubuque Infra'!L18+'Storm Lake'!G18+'Storm Lake'!L18</f>
        <v>3481695</v>
      </c>
      <c r="D17" s="33">
        <f>Benton!G18+'Buena Vista'!G18+Fremont!G19+Howard!G19+Iowa!G19+Johnson!G18+Mills!G18+Winneshiek!G19+'Dubuque Infra'!G18+HSEMD!G18+'Univ of Iowa'!G18+'Iowa DNR'!G18+'Univ of N Iowa'!G18+'Iowa State Univ'!G18+IDALS!G18</f>
        <v>505897</v>
      </c>
      <c r="E17" s="33">
        <f>'Dubuque Housing'!S19+Benton!O18+'Buena Vista'!O18+Fremont!O19+Howard!O19+Iowa!O19+Johnson!O18+Mills!O18+Winneshiek!O19+'Coralville Infra'!L18+'Dubuque Infra'!Q18+'Storm Lake'!Q18+HSEMD!K18</f>
        <v>86257</v>
      </c>
      <c r="F17" s="33">
        <f t="shared" si="0"/>
        <v>4581498</v>
      </c>
    </row>
    <row r="18" spans="1:6" x14ac:dyDescent="0.25">
      <c r="A18" s="21">
        <v>44013</v>
      </c>
      <c r="B18" s="33">
        <f>'Dubuque Housing'!G20+'Dubuque Housing'!K20+'Dubuque Housing'!O20</f>
        <v>0</v>
      </c>
      <c r="C18" s="257">
        <f>Benton!K19+'Buena Vista'!K19+Fremont!K20+Howard!K20+Iowa!K20+Johnson!K19+Mills!K19+Winneshiek!K20+'Coralville Infra'!G19+'Dubuque Infra'!L19+'Storm Lake'!G19+'Storm Lake'!L19</f>
        <v>2909306</v>
      </c>
      <c r="D18" s="33">
        <f>Benton!G19+'Buena Vista'!G19+Fremont!G20+Howard!G20+Iowa!G20+Johnson!G19+Mills!G19+Winneshiek!G20+'Dubuque Infra'!G19+HSEMD!G19+'Univ of Iowa'!G19+'Iowa DNR'!G19+'Univ of N Iowa'!G19+'Iowa State Univ'!G19+IDALS!G19</f>
        <v>184655</v>
      </c>
      <c r="E18" s="33">
        <f>'Dubuque Housing'!S20+Benton!O19+'Buena Vista'!O19+Fremont!O20+Howard!O20+Iowa!O20+Johnson!O19+Mills!O19+Winneshiek!O20+'Coralville Infra'!L19+'Dubuque Infra'!Q19+'Storm Lake'!Q19+HSEMD!K19</f>
        <v>49094</v>
      </c>
      <c r="F18" s="33">
        <f t="shared" si="0"/>
        <v>3143055</v>
      </c>
    </row>
    <row r="19" spans="1:6" x14ac:dyDescent="0.25">
      <c r="A19" s="21">
        <v>44105</v>
      </c>
      <c r="B19" s="33">
        <f>'Dubuque Housing'!G21+'Dubuque Housing'!K21+'Dubuque Housing'!O21</f>
        <v>550672</v>
      </c>
      <c r="C19" s="257">
        <f>Benton!K20+'Buena Vista'!K20+Fremont!K21+Howard!K21+Iowa!K21+Johnson!K20+Mills!K20+Winneshiek!K21+'Coralville Infra'!G20+'Dubuque Infra'!L20+'Storm Lake'!G20+'Storm Lake'!L20</f>
        <v>6197037</v>
      </c>
      <c r="D19" s="33">
        <f>Benton!G20+'Buena Vista'!G20+Fremont!G21+Howard!G21+Iowa!G21+Johnson!G20+Mills!G20+Winneshiek!G21+'Dubuque Infra'!G20+HSEMD!G20+'Univ of Iowa'!G20+'Iowa DNR'!G20+'Univ of N Iowa'!G20+'Iowa State Univ'!G20+IDALS!G20</f>
        <v>276847</v>
      </c>
      <c r="E19" s="33">
        <f>'Dubuque Housing'!S21+Benton!O20+'Buena Vista'!O20+Fremont!O21+Howard!O21+Iowa!O21+Johnson!O20+Mills!O20+Winneshiek!O21+'Coralville Infra'!L20+'Dubuque Infra'!Q20+'Storm Lake'!Q20+HSEMD!K20</f>
        <v>65649</v>
      </c>
      <c r="F19" s="33">
        <f t="shared" si="0"/>
        <v>7090205</v>
      </c>
    </row>
    <row r="20" spans="1:6" x14ac:dyDescent="0.25">
      <c r="A20" s="21">
        <v>44197</v>
      </c>
      <c r="B20" s="33">
        <f>'Dubuque Housing'!G22+'Dubuque Housing'!K22+'Dubuque Housing'!O22</f>
        <v>453037</v>
      </c>
      <c r="C20" s="257">
        <f>Benton!K21+'Buena Vista'!K21+Fremont!K22+Howard!K22+Iowa!K22+Johnson!K21+Mills!K21+Winneshiek!K22+'Coralville Infra'!G21+'Dubuque Infra'!L21+'Storm Lake'!G21+'Storm Lake'!L21</f>
        <v>7180138</v>
      </c>
      <c r="D20" s="33">
        <f>Benton!G21+'Buena Vista'!G21+Fremont!G22+Howard!G22+Iowa!G22+Johnson!G21+Mills!G21+Winneshiek!G22+'Dubuque Infra'!G21+HSEMD!G21+'Univ of Iowa'!G21+'Iowa DNR'!G21+'Univ of N Iowa'!G21+'Iowa State Univ'!G21+IDALS!G21</f>
        <v>603786</v>
      </c>
      <c r="E20" s="33">
        <f>'Dubuque Housing'!S22+Benton!O21+'Buena Vista'!O21+Fremont!O22+Howard!O22+Iowa!O22+Johnson!O21+Mills!O21+Winneshiek!O22+'Coralville Infra'!L21+'Dubuque Infra'!Q21+'Storm Lake'!Q21+HSEMD!K21</f>
        <v>107630</v>
      </c>
      <c r="F20" s="33">
        <f t="shared" si="0"/>
        <v>8344591</v>
      </c>
    </row>
    <row r="21" spans="1:6" x14ac:dyDescent="0.25">
      <c r="A21" s="21">
        <v>44287</v>
      </c>
      <c r="B21" s="33">
        <f>'Dubuque Housing'!G23+'Dubuque Housing'!K23+'Dubuque Housing'!O23</f>
        <v>226769</v>
      </c>
      <c r="C21" s="257">
        <f>Benton!K22+'Buena Vista'!K22+Fremont!K23+Howard!K23+Iowa!K23+Johnson!K22+Mills!K22+Winneshiek!K23+'Coralville Infra'!G22+'Dubuque Infra'!L22+'Storm Lake'!G22+'Storm Lake'!L22</f>
        <v>2096799</v>
      </c>
      <c r="D21" s="33">
        <f>Benton!G22+'Buena Vista'!G22+Fremont!G23+Howard!G23+Iowa!G23+Johnson!G22+Mills!G22+Winneshiek!G23+'Dubuque Infra'!G22+HSEMD!G22+'Univ of Iowa'!G22+'Iowa DNR'!G22+'Univ of N Iowa'!G22+'Iowa State Univ'!G22+IDALS!G22</f>
        <v>293494</v>
      </c>
      <c r="E21" s="33">
        <f>'Dubuque Housing'!S23+Benton!O22+'Buena Vista'!O22+Fremont!O23+Howard!O23+Iowa!O23+Johnson!O22+Mills!O22+Winneshiek!O23+'Coralville Infra'!L22+'Dubuque Infra'!Q22+'Storm Lake'!Q22+HSEMD!K22</f>
        <v>34098</v>
      </c>
      <c r="F21" s="33">
        <f t="shared" si="0"/>
        <v>2651160</v>
      </c>
    </row>
    <row r="22" spans="1:6" x14ac:dyDescent="0.25">
      <c r="A22" s="21">
        <v>44378</v>
      </c>
      <c r="B22" s="33">
        <f>'Dubuque Housing'!G24+'Dubuque Housing'!K24+'Dubuque Housing'!O24</f>
        <v>899588</v>
      </c>
      <c r="C22" s="257">
        <f>Benton!K23+'Buena Vista'!K23+Fremont!K24+Howard!K24+Iowa!K24+Johnson!K23+Mills!K23+Winneshiek!K24+'Coralville Infra'!G23+'Dubuque Infra'!L23+'Storm Lake'!G23+'Storm Lake'!L23</f>
        <v>2996910</v>
      </c>
      <c r="D22" s="33">
        <f>Benton!G23+'Buena Vista'!G23+Fremont!G24+Howard!G24+Iowa!G24+Johnson!G23+Mills!G23+Winneshiek!G24+'Dubuque Infra'!G23+HSEMD!G23+'Univ of Iowa'!G23+'Iowa DNR'!G23+'Univ of N Iowa'!G23+'Iowa State Univ'!G23+IDALS!G23</f>
        <v>384777</v>
      </c>
      <c r="E22" s="33">
        <f>'Dubuque Housing'!S24+Benton!O23+'Buena Vista'!O23+Fremont!O24+Howard!O24+Iowa!O24+Johnson!O23+Mills!O23+Winneshiek!O24+'Coralville Infra'!L23+'Dubuque Infra'!Q23+'Storm Lake'!Q23+HSEMD!K23</f>
        <v>63676</v>
      </c>
      <c r="F22" s="33">
        <f t="shared" si="0"/>
        <v>4344951</v>
      </c>
    </row>
    <row r="23" spans="1:6" x14ac:dyDescent="0.25">
      <c r="A23" s="21">
        <v>44470</v>
      </c>
      <c r="B23" s="33">
        <f>'Dubuque Housing'!G25+'Dubuque Housing'!K25+'Dubuque Housing'!O25</f>
        <v>0</v>
      </c>
      <c r="C23" s="257">
        <f>Benton!K24+'Buena Vista'!K24+Fremont!K25+Howard!K25+Iowa!K25+Johnson!K24+Mills!K24+Winneshiek!K25+'Coralville Infra'!G24+'Dubuque Infra'!L24+'Storm Lake'!G24+'Storm Lake'!L24</f>
        <v>1585792</v>
      </c>
      <c r="D23" s="33">
        <f>Benton!G24+'Buena Vista'!G24+Fremont!G25+Howard!G25+Iowa!G25+Johnson!G24+Mills!G24+Winneshiek!G25+'Dubuque Infra'!G24+HSEMD!G24+'Univ of Iowa'!G24+'Iowa DNR'!G24+'Univ of N Iowa'!G24+'Iowa State Univ'!G24+IDALS!G24</f>
        <v>141689</v>
      </c>
      <c r="E23" s="33">
        <f>'Dubuque Housing'!S25+Benton!O24+'Buena Vista'!O24+Fremont!O25+Howard!O25+Iowa!O25+Johnson!O24+Mills!O24+Winneshiek!O25+'Coralville Infra'!L24+'Dubuque Infra'!Q24+'Storm Lake'!Q24+HSEMD!K24</f>
        <v>11993</v>
      </c>
      <c r="F23" s="33">
        <f t="shared" si="0"/>
        <v>1739474</v>
      </c>
    </row>
    <row r="24" spans="1:6" x14ac:dyDescent="0.25">
      <c r="A24" s="21">
        <v>44562</v>
      </c>
      <c r="B24" s="33">
        <f>'Dubuque Housing'!G26+'Dubuque Housing'!K26+'Dubuque Housing'!O26</f>
        <v>585843</v>
      </c>
      <c r="C24" s="257">
        <f>Benton!K25+'Buena Vista'!K25+Fremont!K26+Howard!K26+Iowa!K26+Johnson!K25+Mills!K25+Winneshiek!K26+'Coralville Infra'!G25+'Dubuque Infra'!L25+'Storm Lake'!G25+'Storm Lake'!L25</f>
        <v>4808988</v>
      </c>
      <c r="D24" s="33">
        <f>Benton!G25+'Buena Vista'!G25+Fremont!G26+Howard!G26+Iowa!G26+Johnson!G25+Mills!G25+Winneshiek!G26+'Dubuque Infra'!G25+HSEMD!G25+'Univ of Iowa'!G25+'Iowa DNR'!G25+'Univ of N Iowa'!G25+'Iowa State Univ'!G25+IDALS!G25</f>
        <v>283753</v>
      </c>
      <c r="E24" s="33">
        <f>'Dubuque Housing'!S26+Benton!O25+'Buena Vista'!O25+Fremont!O26+Howard!O26+Iowa!O26+Johnson!O25+Mills!O25+Winneshiek!O26+'Coralville Infra'!L25+'Dubuque Infra'!Q25+'Storm Lake'!Q25+HSEMD!K25</f>
        <v>28685</v>
      </c>
      <c r="F24" s="33">
        <f t="shared" si="0"/>
        <v>5707269</v>
      </c>
    </row>
    <row r="25" spans="1:6" x14ac:dyDescent="0.25">
      <c r="A25" s="21">
        <v>44652</v>
      </c>
      <c r="B25" s="33">
        <f>'Dubuque Housing'!G27+'Dubuque Housing'!K27+'Dubuque Housing'!O27</f>
        <v>157932</v>
      </c>
      <c r="C25" s="257">
        <f>Benton!K26+'Buena Vista'!K26+Fremont!K27+Howard!K27+Iowa!K27+Johnson!K26+Mills!K26+Winneshiek!K27+'Coralville Infra'!G26+'Dubuque Infra'!L26+'Storm Lake'!G26+'Storm Lake'!L26</f>
        <v>1648935</v>
      </c>
      <c r="D25" s="33">
        <f>Benton!G26+'Buena Vista'!G26+Fremont!G27+Howard!G27+Iowa!G27+Johnson!G26+Mills!G26+Winneshiek!G27+'Dubuque Infra'!G26+HSEMD!G26+'Univ of Iowa'!G26+'Iowa DNR'!G26+'Univ of N Iowa'!G26+'Iowa State Univ'!G26+IDALS!G26</f>
        <v>87095</v>
      </c>
      <c r="E25" s="33">
        <f>'Dubuque Housing'!S27+Benton!O26+'Buena Vista'!O26+Fremont!O27+Howard!O27+Iowa!O27+Johnson!O26+Mills!O26+Winneshiek!O27+'Coralville Infra'!L26+'Dubuque Infra'!Q26+'Storm Lake'!Q26+HSEMD!K26</f>
        <v>25191</v>
      </c>
      <c r="F25" s="33">
        <f t="shared" si="0"/>
        <v>1919153</v>
      </c>
    </row>
    <row r="26" spans="1:6" x14ac:dyDescent="0.25">
      <c r="A26" s="21">
        <v>44743</v>
      </c>
      <c r="B26" s="33">
        <f>'Dubuque Housing'!G28+'Dubuque Housing'!K28+'Dubuque Housing'!O28</f>
        <v>637245</v>
      </c>
      <c r="C26" s="257">
        <f>Benton!K27+'Buena Vista'!K27+Fremont!K28+Howard!K28+Iowa!K28+Johnson!K27+Mills!K27+Winneshiek!K28+'Coralville Infra'!G27+'Dubuque Infra'!L27+'Storm Lake'!G27+'Storm Lake'!L27</f>
        <v>2300256</v>
      </c>
      <c r="D26" s="33">
        <f>Benton!G27+'Buena Vista'!G27+Fremont!G28+Howard!G28+Iowa!G28+Johnson!G27+Mills!G27+Winneshiek!G28+'Dubuque Infra'!G27+HSEMD!G27+'Univ of Iowa'!G27+'Iowa DNR'!G27+'Univ of N Iowa'!G27+'Iowa State Univ'!G27+IDALS!G27</f>
        <v>207037</v>
      </c>
      <c r="E26" s="33">
        <f>'Dubuque Housing'!S28+Benton!O27+'Buena Vista'!O27+Fremont!O28+Howard!O28+Iowa!O28+Johnson!O27+Mills!O27+Winneshiek!O28+'Coralville Infra'!L27+'Dubuque Infra'!Q27+'Storm Lake'!Q27+HSEMD!K27</f>
        <v>10309</v>
      </c>
      <c r="F26" s="33">
        <f t="shared" si="0"/>
        <v>3154847</v>
      </c>
    </row>
    <row r="27" spans="1:6" x14ac:dyDescent="0.25">
      <c r="A27" s="21">
        <v>44835</v>
      </c>
      <c r="B27" s="33">
        <v>0</v>
      </c>
      <c r="C27" s="257">
        <f>Benton!K28+'Buena Vista'!K28+Fremont!K29+Howard!K29+Iowa!K29+Johnson!K28+Mills!K28+Winneshiek!K29+'Coralville Infra'!G28+'Dubuque Infra'!L28+'Storm Lake'!G28+'Storm Lake'!L28</f>
        <v>2383467</v>
      </c>
      <c r="D27" s="33">
        <f>Benton!G28+'Buena Vista'!G28+Fremont!G29+Howard!G29+Iowa!G29+Johnson!G28+Mills!G28+Winneshiek!G29+'Dubuque Infra'!G28+HSEMD!G28+'Univ of Iowa'!G28+'Iowa DNR'!G28+'Univ of N Iowa'!G28+'Iowa State Univ'!G28+IDALS!G28</f>
        <v>223752.46000000002</v>
      </c>
      <c r="E27" s="33">
        <f>Benton!O28+'Buena Vista'!O28+Fremont!O29+Howard!O29+Iowa!O29+Johnson!O28+Mills!O28+Winneshiek!O29+'Coralville Infra'!L28+'Dubuque Infra'!Q28+'Storm Lake'!Q28+HSEMD!K28</f>
        <v>33004</v>
      </c>
      <c r="F27" s="33">
        <f t="shared" si="0"/>
        <v>2640223.46</v>
      </c>
    </row>
    <row r="28" spans="1:6" x14ac:dyDescent="0.25">
      <c r="A28" s="21">
        <v>44927</v>
      </c>
      <c r="B28" s="33">
        <v>0</v>
      </c>
      <c r="C28" s="257">
        <f>Benton!K29+'Buena Vista'!K29+Fremont!K30+Howard!K30+Iowa!K30+Johnson!K29+Mills!K29+Winneshiek!K30+'Coralville Infra'!G29+'Dubuque Infra'!L29+'Storm Lake'!G29+'Storm Lake'!L29</f>
        <v>1434409</v>
      </c>
      <c r="D28" s="33">
        <f>Benton!G29+'Buena Vista'!G29+Fremont!G30+Howard!G30+Iowa!G30+Johnson!G29+Mills!G29+Winneshiek!G30+'Dubuque Infra'!G29+HSEMD!G29+'Univ of Iowa'!G29+'Iowa DNR'!G29+'Univ of N Iowa'!G29+'Iowa State Univ'!G29+IDALS!G29</f>
        <v>132384.13</v>
      </c>
      <c r="E28" s="33">
        <f>Benton!O29+'Buena Vista'!O29+Fremont!O30+Howard!O30+Iowa!O30+Johnson!O29+Mills!O29+Winneshiek!O30+'Coralville Infra'!L29+'Dubuque Infra'!Q29+'Storm Lake'!Q29+HSEMD!K29</f>
        <v>22323</v>
      </c>
      <c r="F28" s="33">
        <f t="shared" si="0"/>
        <v>1589116.13</v>
      </c>
    </row>
    <row r="29" spans="1:6" x14ac:dyDescent="0.25">
      <c r="A29" s="323" t="s">
        <v>28</v>
      </c>
      <c r="B29" s="324">
        <f>SUM(B3:B28)</f>
        <v>8123975</v>
      </c>
      <c r="C29" s="324">
        <f t="shared" ref="C29:F29" si="1">SUM(C3:C28)</f>
        <v>70386571</v>
      </c>
      <c r="D29" s="324">
        <f t="shared" si="1"/>
        <v>13260786.590000002</v>
      </c>
      <c r="E29" s="324">
        <f t="shared" si="1"/>
        <v>1760512</v>
      </c>
      <c r="F29" s="324">
        <f t="shared" si="1"/>
        <v>93531844.589999989</v>
      </c>
    </row>
  </sheetData>
  <mergeCells count="1">
    <mergeCell ref="A1:F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A303A-91F8-4D55-BEB0-877E8278285E}">
  <dimension ref="A1:AA32"/>
  <sheetViews>
    <sheetView zoomScaleNormal="100" workbookViewId="0">
      <pane ySplit="1" topLeftCell="A2" activePane="bottomLeft" state="frozen"/>
      <selection pane="bottomLeft" activeCell="N33" sqref="N33"/>
    </sheetView>
  </sheetViews>
  <sheetFormatPr defaultRowHeight="15" x14ac:dyDescent="0.25"/>
  <cols>
    <col min="2" max="2" width="9.42578125" bestFit="1" customWidth="1"/>
    <col min="5" max="5" width="12.5703125" bestFit="1" customWidth="1"/>
    <col min="6" max="6" width="11.7109375" bestFit="1" customWidth="1"/>
    <col min="8" max="8" width="11.7109375" bestFit="1" customWidth="1"/>
    <col min="9" max="9" width="15.85546875" bestFit="1" customWidth="1"/>
    <col min="10" max="10" width="13.5703125" bestFit="1" customWidth="1"/>
    <col min="12" max="12" width="11.7109375" bestFit="1" customWidth="1"/>
    <col min="13" max="14" width="12.5703125" bestFit="1" customWidth="1"/>
    <col min="16" max="17" width="12.5703125" bestFit="1" customWidth="1"/>
    <col min="21" max="24" width="12.5703125" bestFit="1" customWidth="1"/>
    <col min="25" max="25" width="10" customWidth="1"/>
    <col min="27" max="27" width="10.42578125" bestFit="1" customWidth="1"/>
  </cols>
  <sheetData>
    <row r="1" spans="1:27" ht="15.75" thickBot="1" x14ac:dyDescent="0.3">
      <c r="A1" s="384" t="s">
        <v>29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  <c r="P1" s="384"/>
      <c r="Q1" s="384"/>
      <c r="R1" s="384"/>
      <c r="S1" s="384"/>
      <c r="T1" s="384"/>
      <c r="U1" s="384"/>
      <c r="V1" s="384"/>
      <c r="W1" s="384"/>
      <c r="X1" s="384"/>
      <c r="Y1" s="384"/>
      <c r="Z1" s="384"/>
      <c r="AA1" s="384"/>
    </row>
    <row r="2" spans="1:27" ht="15.75" thickTop="1" x14ac:dyDescent="0.25">
      <c r="A2" s="385" t="s">
        <v>30</v>
      </c>
      <c r="B2" s="385"/>
      <c r="C2" s="385"/>
      <c r="D2" s="386"/>
      <c r="E2" s="387" t="s">
        <v>31</v>
      </c>
      <c r="F2" s="388"/>
      <c r="G2" s="388"/>
      <c r="H2" s="389"/>
      <c r="I2" s="387" t="s">
        <v>32</v>
      </c>
      <c r="J2" s="388"/>
      <c r="K2" s="388"/>
      <c r="L2" s="389"/>
      <c r="M2" s="390" t="s">
        <v>33</v>
      </c>
      <c r="N2" s="391"/>
      <c r="O2" s="391"/>
      <c r="P2" s="392"/>
      <c r="Q2" s="387" t="s">
        <v>34</v>
      </c>
      <c r="R2" s="388"/>
      <c r="S2" s="388"/>
      <c r="T2" s="389"/>
      <c r="U2" s="393" t="s">
        <v>35</v>
      </c>
      <c r="V2" s="394"/>
      <c r="W2" s="394"/>
      <c r="X2" s="394"/>
      <c r="Y2" s="221"/>
      <c r="Z2" s="222"/>
      <c r="AA2" s="223" t="s">
        <v>36</v>
      </c>
    </row>
    <row r="3" spans="1:27" s="18" customFormat="1" ht="36.75" x14ac:dyDescent="0.25">
      <c r="A3" s="224" t="s">
        <v>37</v>
      </c>
      <c r="B3" s="224" t="s">
        <v>38</v>
      </c>
      <c r="C3" s="224" t="s">
        <v>39</v>
      </c>
      <c r="D3" s="225" t="s">
        <v>40</v>
      </c>
      <c r="E3" s="226" t="s">
        <v>41</v>
      </c>
      <c r="F3" s="227" t="s">
        <v>42</v>
      </c>
      <c r="G3" s="227" t="s">
        <v>43</v>
      </c>
      <c r="H3" s="228" t="s">
        <v>44</v>
      </c>
      <c r="I3" s="226" t="s">
        <v>41</v>
      </c>
      <c r="J3" s="227" t="s">
        <v>42</v>
      </c>
      <c r="K3" s="227" t="s">
        <v>43</v>
      </c>
      <c r="L3" s="228" t="s">
        <v>44</v>
      </c>
      <c r="M3" s="226" t="s">
        <v>41</v>
      </c>
      <c r="N3" s="227" t="s">
        <v>42</v>
      </c>
      <c r="O3" s="227" t="s">
        <v>43</v>
      </c>
      <c r="P3" s="228" t="s">
        <v>44</v>
      </c>
      <c r="Q3" s="226" t="s">
        <v>41</v>
      </c>
      <c r="R3" s="227" t="s">
        <v>42</v>
      </c>
      <c r="S3" s="227" t="s">
        <v>43</v>
      </c>
      <c r="T3" s="228" t="s">
        <v>44</v>
      </c>
      <c r="U3" s="229" t="s">
        <v>41</v>
      </c>
      <c r="V3" s="230" t="s">
        <v>42</v>
      </c>
      <c r="W3" s="230" t="s">
        <v>43</v>
      </c>
      <c r="X3" s="230" t="s">
        <v>44</v>
      </c>
      <c r="Y3" s="230" t="s">
        <v>43</v>
      </c>
      <c r="Z3" s="231" t="s">
        <v>45</v>
      </c>
      <c r="AA3" s="232"/>
    </row>
    <row r="4" spans="1:27" x14ac:dyDescent="0.25">
      <c r="A4" s="233" t="s">
        <v>46</v>
      </c>
      <c r="B4" s="233" t="s">
        <v>47</v>
      </c>
      <c r="C4" s="233" t="s">
        <v>39</v>
      </c>
      <c r="D4" s="234" t="s">
        <v>40</v>
      </c>
      <c r="E4" s="42" t="s">
        <v>48</v>
      </c>
      <c r="F4" s="1" t="s">
        <v>49</v>
      </c>
      <c r="G4" s="1" t="s">
        <v>50</v>
      </c>
      <c r="H4" s="43" t="s">
        <v>51</v>
      </c>
      <c r="I4" s="50" t="s">
        <v>52</v>
      </c>
      <c r="J4" s="16" t="s">
        <v>53</v>
      </c>
      <c r="K4" s="16" t="s">
        <v>54</v>
      </c>
      <c r="L4" s="51" t="s">
        <v>55</v>
      </c>
      <c r="M4" s="50" t="s">
        <v>56</v>
      </c>
      <c r="N4" s="16" t="s">
        <v>57</v>
      </c>
      <c r="O4" s="235" t="s">
        <v>58</v>
      </c>
      <c r="P4" s="235" t="s">
        <v>59</v>
      </c>
      <c r="Q4" s="50" t="s">
        <v>60</v>
      </c>
      <c r="R4" s="16" t="s">
        <v>61</v>
      </c>
      <c r="S4" s="16" t="s">
        <v>62</v>
      </c>
      <c r="T4" s="51" t="s">
        <v>63</v>
      </c>
      <c r="U4" s="236" t="s">
        <v>64</v>
      </c>
      <c r="V4" s="237" t="s">
        <v>65</v>
      </c>
      <c r="W4" s="237" t="s">
        <v>66</v>
      </c>
      <c r="X4" s="237" t="s">
        <v>67</v>
      </c>
      <c r="Y4" s="237" t="s">
        <v>68</v>
      </c>
      <c r="Z4" s="238" t="s">
        <v>69</v>
      </c>
      <c r="AA4" s="239" t="s">
        <v>70</v>
      </c>
    </row>
    <row r="5" spans="1:27" x14ac:dyDescent="0.25">
      <c r="A5" s="233">
        <v>1</v>
      </c>
      <c r="B5" s="233">
        <v>1</v>
      </c>
      <c r="C5" s="240">
        <v>42644</v>
      </c>
      <c r="D5" s="241">
        <v>42735</v>
      </c>
      <c r="E5" s="44">
        <v>51349.043478260872</v>
      </c>
      <c r="F5" s="2">
        <f>SUM(0+ E5)</f>
        <v>51349.043478260872</v>
      </c>
      <c r="G5" s="2">
        <v>0</v>
      </c>
      <c r="H5" s="45">
        <f>SUM(0+ G5)</f>
        <v>0</v>
      </c>
      <c r="I5" s="52">
        <v>142057.04347826086</v>
      </c>
      <c r="J5" s="2">
        <f>SUM(0+ I5)</f>
        <v>142057.04347826086</v>
      </c>
      <c r="K5" s="2">
        <v>0</v>
      </c>
      <c r="L5" s="53">
        <f>SUM(0+ K5)</f>
        <v>0</v>
      </c>
      <c r="M5" s="35">
        <v>159810.21739130441</v>
      </c>
      <c r="N5" s="2">
        <f>SUM(0+ M5)</f>
        <v>159810.21739130441</v>
      </c>
      <c r="O5" s="2">
        <v>0</v>
      </c>
      <c r="P5" s="53">
        <f>SUM(0+ O5)</f>
        <v>0</v>
      </c>
      <c r="Q5" s="52">
        <v>20541.347826086949</v>
      </c>
      <c r="R5" s="3">
        <f>SUM(0+ Q5)</f>
        <v>20541.347826086949</v>
      </c>
      <c r="S5" s="2">
        <v>0</v>
      </c>
      <c r="T5" s="53">
        <v>0</v>
      </c>
      <c r="U5" s="126">
        <v>373757.65217391314</v>
      </c>
      <c r="V5" s="35">
        <f>SUM(0+ U5)</f>
        <v>373757.65217391314</v>
      </c>
      <c r="W5" s="35">
        <f>SUM(G5+K5+Table22[[#This Row],[Column11]]+Table22[[#This Row],[Column15]])</f>
        <v>0</v>
      </c>
      <c r="X5" s="35">
        <f>SUM(0+ W5)</f>
        <v>0</v>
      </c>
      <c r="Y5" s="242">
        <f>Table22[[#This Row],[Column19]]/Table22[[#This Row],[Column17]]</f>
        <v>0</v>
      </c>
      <c r="Z5" s="243">
        <f t="shared" ref="Z5:Z28" si="0">SUM(X5/V5)</f>
        <v>0</v>
      </c>
      <c r="AA5" s="244">
        <v>0</v>
      </c>
    </row>
    <row r="6" spans="1:27" x14ac:dyDescent="0.25">
      <c r="A6" s="233">
        <v>1</v>
      </c>
      <c r="B6" s="233">
        <v>2</v>
      </c>
      <c r="C6" s="240">
        <v>42736</v>
      </c>
      <c r="D6" s="241">
        <v>42825</v>
      </c>
      <c r="E6" s="44">
        <v>51349.043478260872</v>
      </c>
      <c r="F6" s="2">
        <f t="shared" ref="F6:F25" si="1">SUM(F5+E6)</f>
        <v>102698.08695652174</v>
      </c>
      <c r="G6" s="2">
        <v>0</v>
      </c>
      <c r="H6" s="45">
        <f t="shared" ref="H6:H28" si="2">SUM(H5+G6)</f>
        <v>0</v>
      </c>
      <c r="I6" s="52">
        <v>142057.04347826086</v>
      </c>
      <c r="J6" s="3">
        <f t="shared" ref="J6:J28" si="3">SUM(J5+I6)</f>
        <v>284114.08695652173</v>
      </c>
      <c r="K6" s="3">
        <v>0</v>
      </c>
      <c r="L6" s="53">
        <f t="shared" ref="L6:L28" si="4">SUM(L5+K6)</f>
        <v>0</v>
      </c>
      <c r="M6" s="35">
        <v>159810.21739130441</v>
      </c>
      <c r="N6" s="3">
        <f t="shared" ref="N6:N28" si="5">SUM(N5+M6)</f>
        <v>319620.43478260882</v>
      </c>
      <c r="O6" s="3">
        <v>0</v>
      </c>
      <c r="P6" s="53">
        <f t="shared" ref="P6:P26" si="6">SUM(P5+O6)</f>
        <v>0</v>
      </c>
      <c r="Q6" s="52">
        <v>20541.347826086949</v>
      </c>
      <c r="R6" s="3">
        <f t="shared" ref="R6:R28" si="7">SUM(R5+Q6)</f>
        <v>41082.695652173898</v>
      </c>
      <c r="S6" s="3">
        <v>94291</v>
      </c>
      <c r="T6" s="53">
        <f t="shared" ref="T6:T28" si="8">SUM(T5+S6)</f>
        <v>94291</v>
      </c>
      <c r="U6" s="126">
        <f>SUM(E6+I6+Table22[[#This Row],[Column9]]+Table22[[#This Row],[Column13]])</f>
        <v>373757.65217391314</v>
      </c>
      <c r="V6" s="35">
        <f t="shared" ref="V6:V28" si="9">SUM(V5+U6)</f>
        <v>747515.30434782628</v>
      </c>
      <c r="W6" s="35">
        <f>SUM(G6+K6+Table22[[#This Row],[Column11]]+Table22[[#This Row],[Column15]])</f>
        <v>94291</v>
      </c>
      <c r="X6" s="35">
        <f t="shared" ref="X6:X28" si="10">SUM(X5+W6)</f>
        <v>94291</v>
      </c>
      <c r="Y6" s="242">
        <f>Table22[[#This Row],[Column19]]/Table22[[#This Row],[Column17]]</f>
        <v>0.25227844688013362</v>
      </c>
      <c r="Z6" s="243">
        <f t="shared" si="0"/>
        <v>0.12613922344006681</v>
      </c>
      <c r="AA6" s="244">
        <v>0</v>
      </c>
    </row>
    <row r="7" spans="1:27" x14ac:dyDescent="0.25">
      <c r="A7" s="233">
        <v>1</v>
      </c>
      <c r="B7" s="233">
        <v>3</v>
      </c>
      <c r="C7" s="240">
        <v>42826</v>
      </c>
      <c r="D7" s="241">
        <v>42916</v>
      </c>
      <c r="E7" s="44">
        <v>51349.043478260872</v>
      </c>
      <c r="F7" s="2">
        <f>SUM(F6+E7)</f>
        <v>154047.13043478262</v>
      </c>
      <c r="G7" s="2">
        <v>0</v>
      </c>
      <c r="H7" s="45">
        <f t="shared" si="2"/>
        <v>0</v>
      </c>
      <c r="I7" s="52">
        <v>142057.04347826086</v>
      </c>
      <c r="J7" s="3">
        <f t="shared" si="3"/>
        <v>426171.13043478259</v>
      </c>
      <c r="K7" s="3">
        <v>0</v>
      </c>
      <c r="L7" s="53">
        <f t="shared" si="4"/>
        <v>0</v>
      </c>
      <c r="M7" s="35">
        <v>159810.21739130441</v>
      </c>
      <c r="N7" s="3">
        <f>SUM(N6+M7)</f>
        <v>479430.6521739132</v>
      </c>
      <c r="O7" s="3">
        <v>0</v>
      </c>
      <c r="P7" s="53">
        <f t="shared" si="6"/>
        <v>0</v>
      </c>
      <c r="Q7" s="52">
        <v>20541.347826086949</v>
      </c>
      <c r="R7" s="3">
        <f t="shared" si="7"/>
        <v>61624.04347826085</v>
      </c>
      <c r="S7" s="3">
        <v>92662</v>
      </c>
      <c r="T7" s="53">
        <f t="shared" si="8"/>
        <v>186953</v>
      </c>
      <c r="U7" s="126">
        <f>SUM(E7+I7+Table22[[#This Row],[Column9]]+Table22[[#This Row],[Column13]])</f>
        <v>373757.65217391314</v>
      </c>
      <c r="V7" s="35">
        <f t="shared" si="9"/>
        <v>1121272.9565217395</v>
      </c>
      <c r="W7" s="35">
        <f>SUM(G7+K7+Table22[[#This Row],[Column11]]+Table22[[#This Row],[Column15]])</f>
        <v>92662</v>
      </c>
      <c r="X7" s="35">
        <f t="shared" si="10"/>
        <v>186953</v>
      </c>
      <c r="Y7" s="242">
        <f>Table22[[#This Row],[Column19]]/Table22[[#This Row],[Column17]]</f>
        <v>0.24792000768691541</v>
      </c>
      <c r="Z7" s="243">
        <f t="shared" si="0"/>
        <v>0.16673281818901634</v>
      </c>
      <c r="AA7" s="244">
        <v>0</v>
      </c>
    </row>
    <row r="8" spans="1:27" x14ac:dyDescent="0.25">
      <c r="A8" s="233">
        <v>1</v>
      </c>
      <c r="B8" s="233">
        <v>4</v>
      </c>
      <c r="C8" s="240">
        <v>42917</v>
      </c>
      <c r="D8" s="241">
        <v>43008</v>
      </c>
      <c r="E8" s="44">
        <v>51349.043478260872</v>
      </c>
      <c r="F8" s="2">
        <f t="shared" si="1"/>
        <v>205396.17391304349</v>
      </c>
      <c r="G8" s="2">
        <v>0</v>
      </c>
      <c r="H8" s="45">
        <f t="shared" si="2"/>
        <v>0</v>
      </c>
      <c r="I8" s="52">
        <v>142057.04347826086</v>
      </c>
      <c r="J8" s="3">
        <f t="shared" si="3"/>
        <v>568228.17391304346</v>
      </c>
      <c r="K8" s="3">
        <v>0</v>
      </c>
      <c r="L8" s="53">
        <f t="shared" si="4"/>
        <v>0</v>
      </c>
      <c r="M8" s="35">
        <v>159810.21739130441</v>
      </c>
      <c r="N8" s="3">
        <f t="shared" si="5"/>
        <v>639240.86956521764</v>
      </c>
      <c r="O8" s="3">
        <v>0</v>
      </c>
      <c r="P8" s="53">
        <f t="shared" si="6"/>
        <v>0</v>
      </c>
      <c r="Q8" s="52">
        <v>20541.347826086949</v>
      </c>
      <c r="R8" s="3">
        <f t="shared" si="7"/>
        <v>82165.391304347795</v>
      </c>
      <c r="S8" s="3">
        <v>17652</v>
      </c>
      <c r="T8" s="53">
        <f t="shared" si="8"/>
        <v>204605</v>
      </c>
      <c r="U8" s="126">
        <f>SUM(E8+I8+Table22[[#This Row],[Column9]]+Table22[[#This Row],[Column13]])</f>
        <v>373757.65217391314</v>
      </c>
      <c r="V8" s="35">
        <f t="shared" si="9"/>
        <v>1495030.6086956526</v>
      </c>
      <c r="W8" s="35">
        <f>SUM(G8+K8+Table22[[#This Row],[Column11]]+Table22[[#This Row],[Column15]])</f>
        <v>17652</v>
      </c>
      <c r="X8" s="35">
        <f t="shared" si="10"/>
        <v>204605</v>
      </c>
      <c r="Y8" s="242">
        <f>Table22[[#This Row],[Column19]]/Table22[[#This Row],[Column17]]</f>
        <v>4.7228464480471292E-2</v>
      </c>
      <c r="Z8" s="243">
        <f t="shared" si="0"/>
        <v>0.13685672976188007</v>
      </c>
      <c r="AA8" s="244">
        <v>0</v>
      </c>
    </row>
    <row r="9" spans="1:27" x14ac:dyDescent="0.25">
      <c r="A9" s="233">
        <v>2</v>
      </c>
      <c r="B9" s="233">
        <v>1</v>
      </c>
      <c r="C9" s="240">
        <v>43009</v>
      </c>
      <c r="D9" s="241">
        <v>43100</v>
      </c>
      <c r="E9" s="44">
        <v>51349.043478260872</v>
      </c>
      <c r="F9" s="2">
        <f t="shared" si="1"/>
        <v>256745.21739130435</v>
      </c>
      <c r="G9" s="2">
        <v>0</v>
      </c>
      <c r="H9" s="45">
        <f t="shared" si="2"/>
        <v>0</v>
      </c>
      <c r="I9" s="52">
        <v>142057.04347826086</v>
      </c>
      <c r="J9" s="3">
        <f t="shared" si="3"/>
        <v>710285.21739130432</v>
      </c>
      <c r="K9" s="3">
        <v>0</v>
      </c>
      <c r="L9" s="53">
        <f t="shared" si="4"/>
        <v>0</v>
      </c>
      <c r="M9" s="35">
        <v>159810.21739130441</v>
      </c>
      <c r="N9" s="3">
        <f t="shared" si="5"/>
        <v>799051.08695652208</v>
      </c>
      <c r="O9" s="3">
        <v>0</v>
      </c>
      <c r="P9" s="53">
        <f t="shared" si="6"/>
        <v>0</v>
      </c>
      <c r="Q9" s="52">
        <v>20541.347826086949</v>
      </c>
      <c r="R9" s="3">
        <f t="shared" si="7"/>
        <v>102706.73913043474</v>
      </c>
      <c r="S9" s="3">
        <v>66699</v>
      </c>
      <c r="T9" s="53">
        <f t="shared" si="8"/>
        <v>271304</v>
      </c>
      <c r="U9" s="126">
        <f>SUM(E9+I9+Table22[[#This Row],[Column9]]+Table22[[#This Row],[Column13]])</f>
        <v>373757.65217391314</v>
      </c>
      <c r="V9" s="35">
        <f t="shared" si="9"/>
        <v>1868788.2608695657</v>
      </c>
      <c r="W9" s="35">
        <f>SUM(G9+K9+Table22[[#This Row],[Column11]]+Table22[[#This Row],[Column15]])</f>
        <v>66699</v>
      </c>
      <c r="X9" s="35">
        <f t="shared" si="10"/>
        <v>271304</v>
      </c>
      <c r="Y9" s="242">
        <f>Table22[[#This Row],[Column19]]/Table22[[#This Row],[Column17]]</f>
        <v>0.17845520917646468</v>
      </c>
      <c r="Z9" s="243">
        <f t="shared" si="0"/>
        <v>0.14517642564479699</v>
      </c>
      <c r="AA9" s="244">
        <v>5</v>
      </c>
    </row>
    <row r="10" spans="1:27" x14ac:dyDescent="0.25">
      <c r="A10" s="233">
        <v>2</v>
      </c>
      <c r="B10" s="233">
        <v>2</v>
      </c>
      <c r="C10" s="240">
        <v>43101</v>
      </c>
      <c r="D10" s="241">
        <v>43190</v>
      </c>
      <c r="E10" s="44">
        <v>51349.043478260872</v>
      </c>
      <c r="F10" s="2">
        <f t="shared" si="1"/>
        <v>308094.26086956525</v>
      </c>
      <c r="G10" s="2">
        <v>0</v>
      </c>
      <c r="H10" s="45">
        <f t="shared" si="2"/>
        <v>0</v>
      </c>
      <c r="I10" s="52">
        <v>142057.04347826086</v>
      </c>
      <c r="J10" s="3">
        <f t="shared" si="3"/>
        <v>852342.26086956519</v>
      </c>
      <c r="K10" s="3">
        <v>0</v>
      </c>
      <c r="L10" s="53">
        <f t="shared" si="4"/>
        <v>0</v>
      </c>
      <c r="M10" s="35">
        <v>159810.21739130441</v>
      </c>
      <c r="N10" s="3">
        <f t="shared" si="5"/>
        <v>958861.30434782652</v>
      </c>
      <c r="O10" s="3">
        <v>0</v>
      </c>
      <c r="P10" s="53">
        <f t="shared" si="6"/>
        <v>0</v>
      </c>
      <c r="Q10" s="52">
        <v>20541.347826086949</v>
      </c>
      <c r="R10" s="3">
        <f t="shared" si="7"/>
        <v>123248.08695652169</v>
      </c>
      <c r="S10" s="3">
        <v>9864</v>
      </c>
      <c r="T10" s="53">
        <f t="shared" si="8"/>
        <v>281168</v>
      </c>
      <c r="U10" s="126">
        <f>SUM(E10+I10+Table22[[#This Row],[Column9]]+Table22[[#This Row],[Column13]])</f>
        <v>373757.65217391314</v>
      </c>
      <c r="V10" s="35">
        <f t="shared" si="9"/>
        <v>2242545.913043479</v>
      </c>
      <c r="W10" s="35">
        <f>SUM(G10+K10+Table22[[#This Row],[Column11]]+Table22[[#This Row],[Column15]])</f>
        <v>9864</v>
      </c>
      <c r="X10" s="35">
        <f t="shared" si="10"/>
        <v>281168</v>
      </c>
      <c r="Y10" s="242">
        <f>Table22[[#This Row],[Column19]]/Table22[[#This Row],[Column17]]</f>
        <v>2.6391432904790891E-2</v>
      </c>
      <c r="Z10" s="243">
        <f t="shared" si="0"/>
        <v>0.12537892685479599</v>
      </c>
      <c r="AA10" s="244">
        <v>10</v>
      </c>
    </row>
    <row r="11" spans="1:27" x14ac:dyDescent="0.25">
      <c r="A11" s="233">
        <v>2</v>
      </c>
      <c r="B11" s="233">
        <v>3</v>
      </c>
      <c r="C11" s="240">
        <v>43191</v>
      </c>
      <c r="D11" s="241">
        <v>43281</v>
      </c>
      <c r="E11" s="44">
        <v>51349.043478260872</v>
      </c>
      <c r="F11" s="2">
        <f t="shared" si="1"/>
        <v>359443.30434782611</v>
      </c>
      <c r="G11" s="2">
        <v>0</v>
      </c>
      <c r="H11" s="45">
        <f t="shared" si="2"/>
        <v>0</v>
      </c>
      <c r="I11" s="52">
        <v>142057.04347826086</v>
      </c>
      <c r="J11" s="3">
        <f t="shared" si="3"/>
        <v>994399.30434782605</v>
      </c>
      <c r="K11" s="3">
        <v>0</v>
      </c>
      <c r="L11" s="53">
        <f t="shared" si="4"/>
        <v>0</v>
      </c>
      <c r="M11" s="35">
        <v>159810.21739130441</v>
      </c>
      <c r="N11" s="3">
        <f t="shared" si="5"/>
        <v>1118671.5217391308</v>
      </c>
      <c r="O11" s="3">
        <v>239506</v>
      </c>
      <c r="P11" s="53">
        <f t="shared" si="6"/>
        <v>239506</v>
      </c>
      <c r="Q11" s="52">
        <v>20541.347826086949</v>
      </c>
      <c r="R11" s="3">
        <f t="shared" si="7"/>
        <v>143789.43478260865</v>
      </c>
      <c r="S11" s="3">
        <v>61583</v>
      </c>
      <c r="T11" s="53">
        <f t="shared" si="8"/>
        <v>342751</v>
      </c>
      <c r="U11" s="126">
        <f>SUM(E11+I11+Table22[[#This Row],[Column9]]+Table22[[#This Row],[Column13]])</f>
        <v>373757.65217391314</v>
      </c>
      <c r="V11" s="35">
        <f t="shared" si="9"/>
        <v>2616303.5652173921</v>
      </c>
      <c r="W11" s="35">
        <f>SUM(G11+K11+Table22[[#This Row],[Column11]]+Table22[[#This Row],[Column15]])</f>
        <v>301089</v>
      </c>
      <c r="X11" s="35">
        <f t="shared" si="10"/>
        <v>582257</v>
      </c>
      <c r="Y11" s="242">
        <f>Table22[[#This Row],[Column19]]/Table22[[#This Row],[Column17]]</f>
        <v>0.80557280432589062</v>
      </c>
      <c r="Z11" s="243">
        <f t="shared" si="0"/>
        <v>0.22254948077923806</v>
      </c>
      <c r="AA11" s="244">
        <v>19</v>
      </c>
    </row>
    <row r="12" spans="1:27" x14ac:dyDescent="0.25">
      <c r="A12" s="233">
        <v>2</v>
      </c>
      <c r="B12" s="233">
        <v>4</v>
      </c>
      <c r="C12" s="240">
        <v>43282</v>
      </c>
      <c r="D12" s="241">
        <v>43373</v>
      </c>
      <c r="E12" s="44">
        <v>51349.043478260872</v>
      </c>
      <c r="F12" s="2">
        <f t="shared" si="1"/>
        <v>410792.34782608697</v>
      </c>
      <c r="G12" s="2">
        <v>20990</v>
      </c>
      <c r="H12" s="45">
        <f t="shared" si="2"/>
        <v>20990</v>
      </c>
      <c r="I12" s="52">
        <v>142057.04347826086</v>
      </c>
      <c r="J12" s="3">
        <f t="shared" si="3"/>
        <v>1136456.3478260869</v>
      </c>
      <c r="K12" s="3">
        <v>71659</v>
      </c>
      <c r="L12" s="53">
        <f t="shared" si="4"/>
        <v>71659</v>
      </c>
      <c r="M12" s="35">
        <v>159810.21739130441</v>
      </c>
      <c r="N12" s="3">
        <f t="shared" si="5"/>
        <v>1278481.7391304353</v>
      </c>
      <c r="O12" s="3">
        <v>72495</v>
      </c>
      <c r="P12" s="53">
        <f t="shared" si="6"/>
        <v>312001</v>
      </c>
      <c r="Q12" s="52">
        <v>20541.347826086949</v>
      </c>
      <c r="R12" s="3">
        <f t="shared" si="7"/>
        <v>164330.78260869559</v>
      </c>
      <c r="S12" s="3">
        <v>34922</v>
      </c>
      <c r="T12" s="53">
        <f t="shared" si="8"/>
        <v>377673</v>
      </c>
      <c r="U12" s="126">
        <f>SUM(E12+I12+Table22[[#This Row],[Column9]]+Table22[[#This Row],[Column13]])</f>
        <v>373757.65217391314</v>
      </c>
      <c r="V12" s="35">
        <f t="shared" si="9"/>
        <v>2990061.2173913051</v>
      </c>
      <c r="W12" s="35">
        <f>SUM(G12+K12+Table22[[#This Row],[Column11]]+Table22[[#This Row],[Column15]])</f>
        <v>200066</v>
      </c>
      <c r="X12" s="35">
        <f t="shared" si="10"/>
        <v>782323</v>
      </c>
      <c r="Y12" s="242">
        <f>Table22[[#This Row],[Column19]]/Table22[[#This Row],[Column17]]</f>
        <v>0.53528268608372809</v>
      </c>
      <c r="Z12" s="243">
        <f t="shared" si="0"/>
        <v>0.26164113144229934</v>
      </c>
      <c r="AA12" s="244">
        <v>9</v>
      </c>
    </row>
    <row r="13" spans="1:27" x14ac:dyDescent="0.25">
      <c r="A13" s="233">
        <v>3</v>
      </c>
      <c r="B13" s="233">
        <v>1</v>
      </c>
      <c r="C13" s="240">
        <v>43374</v>
      </c>
      <c r="D13" s="241">
        <v>43465</v>
      </c>
      <c r="E13" s="44">
        <v>51349.043478260872</v>
      </c>
      <c r="F13" s="2">
        <f>SUM(F12+E13)</f>
        <v>462141.39130434784</v>
      </c>
      <c r="G13" s="2">
        <v>170177</v>
      </c>
      <c r="H13" s="45">
        <f t="shared" si="2"/>
        <v>191167</v>
      </c>
      <c r="I13" s="52">
        <v>142057.04347826086</v>
      </c>
      <c r="J13" s="3">
        <f t="shared" si="3"/>
        <v>1278513.3913043477</v>
      </c>
      <c r="K13" s="3">
        <v>130339</v>
      </c>
      <c r="L13" s="53">
        <f t="shared" si="4"/>
        <v>201998</v>
      </c>
      <c r="M13" s="35">
        <v>159810.21739130441</v>
      </c>
      <c r="N13" s="3">
        <f t="shared" si="5"/>
        <v>1438291.9565217397</v>
      </c>
      <c r="O13" s="3">
        <v>320698</v>
      </c>
      <c r="P13" s="53">
        <f t="shared" si="6"/>
        <v>632699</v>
      </c>
      <c r="Q13" s="52">
        <v>20541.347826086949</v>
      </c>
      <c r="R13" s="3">
        <f t="shared" si="7"/>
        <v>184872.13043478254</v>
      </c>
      <c r="S13" s="3">
        <v>26792</v>
      </c>
      <c r="T13" s="53">
        <f t="shared" si="8"/>
        <v>404465</v>
      </c>
      <c r="U13" s="126">
        <f>SUM(E13+I13+Table22[[#This Row],[Column9]]+Table22[[#This Row],[Column13]])</f>
        <v>373757.65217391314</v>
      </c>
      <c r="V13" s="35">
        <f t="shared" si="9"/>
        <v>3363818.8695652182</v>
      </c>
      <c r="W13" s="35">
        <f>SUM(G13+K13+Table22[[#This Row],[Column11]]+Table22[[#This Row],[Column15]])</f>
        <v>648006</v>
      </c>
      <c r="X13" s="35">
        <f t="shared" si="10"/>
        <v>1430329</v>
      </c>
      <c r="Y13" s="242">
        <f>Table22[[#This Row],[Column19]]/Table22[[#This Row],[Column17]]</f>
        <v>1.7337598206510469</v>
      </c>
      <c r="Z13" s="243">
        <f t="shared" si="0"/>
        <v>0.42520987468771571</v>
      </c>
      <c r="AA13" s="244">
        <v>11</v>
      </c>
    </row>
    <row r="14" spans="1:27" x14ac:dyDescent="0.25">
      <c r="A14" s="233">
        <v>3</v>
      </c>
      <c r="B14" s="233">
        <v>2</v>
      </c>
      <c r="C14" s="240">
        <v>43466</v>
      </c>
      <c r="D14" s="241">
        <v>43555</v>
      </c>
      <c r="E14" s="44">
        <v>51349.043478260872</v>
      </c>
      <c r="F14" s="2">
        <f t="shared" si="1"/>
        <v>513490.4347826087</v>
      </c>
      <c r="G14" s="2">
        <v>0</v>
      </c>
      <c r="H14" s="45">
        <f t="shared" si="2"/>
        <v>191167</v>
      </c>
      <c r="I14" s="52">
        <v>142057.04347826086</v>
      </c>
      <c r="J14" s="3">
        <f t="shared" si="3"/>
        <v>1420570.4347826084</v>
      </c>
      <c r="K14" s="3">
        <v>0</v>
      </c>
      <c r="L14" s="53">
        <f t="shared" si="4"/>
        <v>201998</v>
      </c>
      <c r="M14" s="35">
        <v>159810.21739130441</v>
      </c>
      <c r="N14" s="3">
        <f t="shared" si="5"/>
        <v>1598102.1739130442</v>
      </c>
      <c r="O14" s="3">
        <v>0</v>
      </c>
      <c r="P14" s="53">
        <f t="shared" si="6"/>
        <v>632699</v>
      </c>
      <c r="Q14" s="52">
        <v>20541.347826086949</v>
      </c>
      <c r="R14" s="3">
        <f t="shared" si="7"/>
        <v>205413.47826086948</v>
      </c>
      <c r="S14" s="3">
        <v>32671</v>
      </c>
      <c r="T14" s="53">
        <f t="shared" si="8"/>
        <v>437136</v>
      </c>
      <c r="U14" s="126">
        <f>SUM(E14+I14+Table22[[#This Row],[Column9]]+Table22[[#This Row],[Column13]])</f>
        <v>373757.65217391314</v>
      </c>
      <c r="V14" s="35">
        <f t="shared" si="9"/>
        <v>3737576.5217391313</v>
      </c>
      <c r="W14" s="35">
        <f>SUM(G14+K14+Table22[[#This Row],[Column11]]+Table22[[#This Row],[Column15]])</f>
        <v>32671</v>
      </c>
      <c r="X14" s="35">
        <f t="shared" si="10"/>
        <v>1463000</v>
      </c>
      <c r="Y14" s="242">
        <f>Table22[[#This Row],[Column19]]/Table22[[#This Row],[Column17]]</f>
        <v>8.7412257140351099E-2</v>
      </c>
      <c r="Z14" s="243">
        <f t="shared" si="0"/>
        <v>0.39143011293297925</v>
      </c>
      <c r="AA14" s="244">
        <v>6</v>
      </c>
    </row>
    <row r="15" spans="1:27" x14ac:dyDescent="0.25">
      <c r="A15" s="233">
        <v>3</v>
      </c>
      <c r="B15" s="233">
        <v>3</v>
      </c>
      <c r="C15" s="240">
        <v>43556</v>
      </c>
      <c r="D15" s="241">
        <v>43646</v>
      </c>
      <c r="E15" s="44">
        <v>51349.043478260872</v>
      </c>
      <c r="F15" s="2">
        <f t="shared" si="1"/>
        <v>564839.47826086963</v>
      </c>
      <c r="G15" s="2">
        <v>50554</v>
      </c>
      <c r="H15" s="45">
        <f t="shared" si="2"/>
        <v>241721</v>
      </c>
      <c r="I15" s="52">
        <v>142057.04347826086</v>
      </c>
      <c r="J15" s="3">
        <f t="shared" si="3"/>
        <v>1562627.4782608692</v>
      </c>
      <c r="K15" s="3">
        <v>88627</v>
      </c>
      <c r="L15" s="53">
        <f t="shared" si="4"/>
        <v>290625</v>
      </c>
      <c r="M15" s="35">
        <v>159810.21739130441</v>
      </c>
      <c r="N15" s="3">
        <f t="shared" si="5"/>
        <v>1757912.3913043486</v>
      </c>
      <c r="O15" s="3">
        <v>568272</v>
      </c>
      <c r="P15" s="53">
        <f t="shared" si="6"/>
        <v>1200971</v>
      </c>
      <c r="Q15" s="52">
        <v>20541.347826086949</v>
      </c>
      <c r="R15" s="3">
        <f t="shared" si="7"/>
        <v>225954.82608695643</v>
      </c>
      <c r="S15" s="3">
        <v>14609</v>
      </c>
      <c r="T15" s="53">
        <f t="shared" si="8"/>
        <v>451745</v>
      </c>
      <c r="U15" s="126">
        <f>SUM(E15+I15+Table22[[#This Row],[Column9]]+Table22[[#This Row],[Column13]])</f>
        <v>373757.65217391314</v>
      </c>
      <c r="V15" s="35">
        <f t="shared" si="9"/>
        <v>4111334.1739130444</v>
      </c>
      <c r="W15" s="35">
        <f>SUM(G15+K15+Table22[[#This Row],[Column11]]+Table22[[#This Row],[Column15]])</f>
        <v>722062</v>
      </c>
      <c r="X15" s="35">
        <f t="shared" si="10"/>
        <v>2185062</v>
      </c>
      <c r="Y15" s="242">
        <f>Table22[[#This Row],[Column19]]/Table22[[#This Row],[Column17]]</f>
        <v>1.9318989077553852</v>
      </c>
      <c r="Z15" s="243">
        <f t="shared" si="0"/>
        <v>0.53147273064410705</v>
      </c>
      <c r="AA15" s="244">
        <v>8</v>
      </c>
    </row>
    <row r="16" spans="1:27" x14ac:dyDescent="0.25">
      <c r="A16" s="233">
        <v>3</v>
      </c>
      <c r="B16" s="233">
        <v>4</v>
      </c>
      <c r="C16" s="240">
        <v>43653</v>
      </c>
      <c r="D16" s="241">
        <v>43738</v>
      </c>
      <c r="E16" s="44">
        <v>51349.043478260872</v>
      </c>
      <c r="F16" s="2">
        <f t="shared" si="1"/>
        <v>616188.52173913049</v>
      </c>
      <c r="G16" s="2">
        <v>4121</v>
      </c>
      <c r="H16" s="45">
        <f t="shared" si="2"/>
        <v>245842</v>
      </c>
      <c r="I16" s="52">
        <v>142057.04347826086</v>
      </c>
      <c r="J16" s="3">
        <f t="shared" si="3"/>
        <v>1704684.5217391299</v>
      </c>
      <c r="K16" s="3">
        <v>206774</v>
      </c>
      <c r="L16" s="53">
        <f t="shared" si="4"/>
        <v>497399</v>
      </c>
      <c r="M16" s="35">
        <v>159810.21739130441</v>
      </c>
      <c r="N16" s="3">
        <f t="shared" si="5"/>
        <v>1917722.608695653</v>
      </c>
      <c r="O16" s="3">
        <v>249438</v>
      </c>
      <c r="P16" s="53">
        <f t="shared" si="6"/>
        <v>1450409</v>
      </c>
      <c r="Q16" s="52">
        <v>20541.347826086949</v>
      </c>
      <c r="R16" s="3">
        <f t="shared" si="7"/>
        <v>246496.17391304337</v>
      </c>
      <c r="S16" s="3">
        <v>1391</v>
      </c>
      <c r="T16" s="53">
        <f t="shared" si="8"/>
        <v>453136</v>
      </c>
      <c r="U16" s="126">
        <f>SUM(E16+I16+Table22[[#This Row],[Column9]]+Table22[[#This Row],[Column13]])</f>
        <v>373757.65217391314</v>
      </c>
      <c r="V16" s="35">
        <f t="shared" si="9"/>
        <v>4485091.8260869579</v>
      </c>
      <c r="W16" s="35">
        <f>SUM(G16+K16+Table22[[#This Row],[Column11]]+Table22[[#This Row],[Column15]])</f>
        <v>461724</v>
      </c>
      <c r="X16" s="35">
        <f t="shared" si="10"/>
        <v>2646786</v>
      </c>
      <c r="Y16" s="242">
        <f>Table22[[#This Row],[Column19]]/Table22[[#This Row],[Column17]]</f>
        <v>1.235356647053089</v>
      </c>
      <c r="Z16" s="243">
        <f t="shared" si="0"/>
        <v>0.59012972367818883</v>
      </c>
      <c r="AA16" s="244">
        <v>51</v>
      </c>
    </row>
    <row r="17" spans="1:27" x14ac:dyDescent="0.25">
      <c r="A17" s="233">
        <v>4</v>
      </c>
      <c r="B17" s="233">
        <v>1</v>
      </c>
      <c r="C17" s="240">
        <v>43739</v>
      </c>
      <c r="D17" s="241">
        <v>43830</v>
      </c>
      <c r="E17" s="44">
        <v>51349.043478260872</v>
      </c>
      <c r="F17" s="2">
        <f t="shared" si="1"/>
        <v>667537.56521739135</v>
      </c>
      <c r="G17" s="2">
        <v>200531</v>
      </c>
      <c r="H17" s="45">
        <f t="shared" si="2"/>
        <v>446373</v>
      </c>
      <c r="I17" s="52">
        <v>142057.04347826086</v>
      </c>
      <c r="J17" s="3">
        <f t="shared" si="3"/>
        <v>1846741.5652173907</v>
      </c>
      <c r="K17" s="3">
        <v>570148</v>
      </c>
      <c r="L17" s="53">
        <f t="shared" si="4"/>
        <v>1067547</v>
      </c>
      <c r="M17" s="35">
        <v>159810.21739130441</v>
      </c>
      <c r="N17" s="3">
        <f t="shared" si="5"/>
        <v>2077532.8260869575</v>
      </c>
      <c r="O17" s="3">
        <v>476923</v>
      </c>
      <c r="P17" s="53">
        <f t="shared" si="6"/>
        <v>1927332</v>
      </c>
      <c r="Q17" s="52">
        <v>20541.347826086949</v>
      </c>
      <c r="R17" s="3">
        <f t="shared" si="7"/>
        <v>267037.52173913032</v>
      </c>
      <c r="S17" s="3">
        <v>0</v>
      </c>
      <c r="T17" s="53">
        <f t="shared" si="8"/>
        <v>453136</v>
      </c>
      <c r="U17" s="126">
        <f>SUM(E17+I17+Table22[[#This Row],[Column9]]+Table22[[#This Row],[Column13]])</f>
        <v>373757.65217391314</v>
      </c>
      <c r="V17" s="35">
        <f t="shared" si="9"/>
        <v>4858849.478260871</v>
      </c>
      <c r="W17" s="35">
        <f>SUM(G17+K17+Table22[[#This Row],[Column11]]+Table22[[#This Row],[Column15]])</f>
        <v>1247602</v>
      </c>
      <c r="X17" s="35">
        <f t="shared" si="10"/>
        <v>3894388</v>
      </c>
      <c r="Y17" s="242">
        <f>Table22[[#This Row],[Column19]]/Table22[[#This Row],[Column17]]</f>
        <v>3.3379972095380093</v>
      </c>
      <c r="Z17" s="243">
        <f t="shared" si="0"/>
        <v>0.8015041456674058</v>
      </c>
      <c r="AA17" s="244">
        <v>78</v>
      </c>
    </row>
    <row r="18" spans="1:27" x14ac:dyDescent="0.25">
      <c r="A18" s="233">
        <v>4</v>
      </c>
      <c r="B18" s="233">
        <v>2</v>
      </c>
      <c r="C18" s="240">
        <v>43831</v>
      </c>
      <c r="D18" s="241">
        <v>43921</v>
      </c>
      <c r="E18" s="44">
        <v>51349.043478260872</v>
      </c>
      <c r="F18" s="2">
        <f t="shared" si="1"/>
        <v>718886.60869565222</v>
      </c>
      <c r="G18" s="2">
        <v>82671</v>
      </c>
      <c r="H18" s="45">
        <f t="shared" si="2"/>
        <v>529044</v>
      </c>
      <c r="I18" s="52">
        <v>142057.04347826086</v>
      </c>
      <c r="J18" s="3">
        <f t="shared" si="3"/>
        <v>1988798.6086956514</v>
      </c>
      <c r="K18" s="3">
        <v>446274</v>
      </c>
      <c r="L18" s="53">
        <f t="shared" si="4"/>
        <v>1513821</v>
      </c>
      <c r="M18" s="35">
        <v>159810.21739130441</v>
      </c>
      <c r="N18" s="3">
        <f t="shared" si="5"/>
        <v>2237343.0434782617</v>
      </c>
      <c r="O18" s="3">
        <v>135043</v>
      </c>
      <c r="P18" s="53">
        <f t="shared" si="6"/>
        <v>2062375</v>
      </c>
      <c r="Q18" s="52">
        <v>20541.347826086949</v>
      </c>
      <c r="R18" s="3">
        <f t="shared" si="7"/>
        <v>287578.86956521729</v>
      </c>
      <c r="S18" s="3">
        <v>5214</v>
      </c>
      <c r="T18" s="53">
        <f t="shared" si="8"/>
        <v>458350</v>
      </c>
      <c r="U18" s="126">
        <f>SUM(E18+I18+Table22[[#This Row],[Column9]]+Table22[[#This Row],[Column13]])</f>
        <v>373757.65217391314</v>
      </c>
      <c r="V18" s="35">
        <f t="shared" si="9"/>
        <v>5232607.1304347841</v>
      </c>
      <c r="W18" s="35">
        <f>SUM(G18+K18+Table22[[#This Row],[Column11]]+Table22[[#This Row],[Column15]])</f>
        <v>669202</v>
      </c>
      <c r="X18" s="35">
        <f t="shared" si="10"/>
        <v>4563590</v>
      </c>
      <c r="Y18" s="242">
        <f>Table22[[#This Row],[Column19]]/Table22[[#This Row],[Column17]]</f>
        <v>1.7904703652424852</v>
      </c>
      <c r="Z18" s="243">
        <f t="shared" si="0"/>
        <v>0.87214458992276866</v>
      </c>
      <c r="AA18" s="244">
        <v>2</v>
      </c>
    </row>
    <row r="19" spans="1:27" x14ac:dyDescent="0.25">
      <c r="A19" s="233">
        <v>4</v>
      </c>
      <c r="B19" s="233">
        <v>3</v>
      </c>
      <c r="C19" s="240">
        <v>43922</v>
      </c>
      <c r="D19" s="241">
        <v>44012</v>
      </c>
      <c r="E19" s="44">
        <v>51349.043478260872</v>
      </c>
      <c r="F19" s="2">
        <f t="shared" si="1"/>
        <v>770235.65217391308</v>
      </c>
      <c r="G19" s="2">
        <v>49599</v>
      </c>
      <c r="H19" s="45">
        <f t="shared" si="2"/>
        <v>578643</v>
      </c>
      <c r="I19" s="52">
        <v>142057.04347826086</v>
      </c>
      <c r="J19" s="3">
        <f t="shared" si="3"/>
        <v>2130855.6521739122</v>
      </c>
      <c r="K19" s="3">
        <v>398151</v>
      </c>
      <c r="L19" s="53">
        <f t="shared" si="4"/>
        <v>1911972</v>
      </c>
      <c r="M19" s="35">
        <v>159810.21739130441</v>
      </c>
      <c r="N19" s="3">
        <f t="shared" si="5"/>
        <v>2397153.2608695659</v>
      </c>
      <c r="O19" s="3">
        <v>59899</v>
      </c>
      <c r="P19" s="53">
        <f t="shared" si="6"/>
        <v>2122274</v>
      </c>
      <c r="Q19" s="52">
        <v>20541.347826086949</v>
      </c>
      <c r="R19" s="3">
        <f t="shared" si="7"/>
        <v>308120.21739130426</v>
      </c>
      <c r="S19" s="3">
        <v>1529</v>
      </c>
      <c r="T19" s="53">
        <f t="shared" si="8"/>
        <v>459879</v>
      </c>
      <c r="U19" s="126">
        <f>SUM(E19+I19+Table22[[#This Row],[Column9]]+Table22[[#This Row],[Column13]])</f>
        <v>373757.65217391314</v>
      </c>
      <c r="V19" s="35">
        <f t="shared" si="9"/>
        <v>5606364.7826086972</v>
      </c>
      <c r="W19" s="35">
        <f>SUM(G19+K19+Table22[[#This Row],[Column11]]+Table22[[#This Row],[Column15]])</f>
        <v>509178</v>
      </c>
      <c r="X19" s="35">
        <f t="shared" si="10"/>
        <v>5072768</v>
      </c>
      <c r="Y19" s="242">
        <f>Table22[[#This Row],[Column19]]/Table22[[#This Row],[Column17]]</f>
        <v>1.3623212716540567</v>
      </c>
      <c r="Z19" s="243">
        <f t="shared" si="0"/>
        <v>0.9048230353715212</v>
      </c>
      <c r="AA19" s="244">
        <v>16</v>
      </c>
    </row>
    <row r="20" spans="1:27" x14ac:dyDescent="0.25">
      <c r="A20" s="233">
        <v>4</v>
      </c>
      <c r="B20" s="233">
        <v>4</v>
      </c>
      <c r="C20" s="240">
        <v>44013</v>
      </c>
      <c r="D20" s="241">
        <v>44104</v>
      </c>
      <c r="E20" s="44">
        <v>51349.043478260872</v>
      </c>
      <c r="F20" s="2">
        <f t="shared" si="1"/>
        <v>821584.69565217395</v>
      </c>
      <c r="G20" s="2">
        <v>0</v>
      </c>
      <c r="H20" s="45">
        <f t="shared" si="2"/>
        <v>578643</v>
      </c>
      <c r="I20" s="52">
        <v>142057.04347826086</v>
      </c>
      <c r="J20" s="3">
        <f t="shared" si="3"/>
        <v>2272912.6956521729</v>
      </c>
      <c r="K20" s="3">
        <v>0</v>
      </c>
      <c r="L20" s="53">
        <f t="shared" si="4"/>
        <v>1911972</v>
      </c>
      <c r="M20" s="35">
        <v>159810.21739130441</v>
      </c>
      <c r="N20" s="3">
        <f t="shared" si="5"/>
        <v>2556963.4782608701</v>
      </c>
      <c r="O20" s="3">
        <v>0</v>
      </c>
      <c r="P20" s="53">
        <f t="shared" si="6"/>
        <v>2122274</v>
      </c>
      <c r="Q20" s="52">
        <v>20541.347826086949</v>
      </c>
      <c r="R20" s="3">
        <f t="shared" si="7"/>
        <v>328661.56521739124</v>
      </c>
      <c r="S20" s="3">
        <v>0</v>
      </c>
      <c r="T20" s="53">
        <f t="shared" si="8"/>
        <v>459879</v>
      </c>
      <c r="U20" s="126">
        <f>SUM(E20+I20+Table22[[#This Row],[Column9]]+Table22[[#This Row],[Column13]])</f>
        <v>373757.65217391314</v>
      </c>
      <c r="V20" s="35">
        <f t="shared" si="9"/>
        <v>5980122.4347826103</v>
      </c>
      <c r="W20" s="35">
        <f>SUM(G20+K20+Table22[[#This Row],[Column11]]+Table22[[#This Row],[Column15]])</f>
        <v>0</v>
      </c>
      <c r="X20" s="35">
        <f t="shared" si="10"/>
        <v>5072768</v>
      </c>
      <c r="Y20" s="242">
        <f>Table22[[#This Row],[Column19]]/Table22[[#This Row],[Column17]]</f>
        <v>0</v>
      </c>
      <c r="Z20" s="243">
        <f t="shared" si="0"/>
        <v>0.84827159566080113</v>
      </c>
      <c r="AA20" s="244">
        <v>10</v>
      </c>
    </row>
    <row r="21" spans="1:27" x14ac:dyDescent="0.25">
      <c r="A21" s="233">
        <v>5</v>
      </c>
      <c r="B21" s="233">
        <v>1</v>
      </c>
      <c r="C21" s="240">
        <v>44105</v>
      </c>
      <c r="D21" s="241">
        <v>44196</v>
      </c>
      <c r="E21" s="44">
        <v>51349.043478260872</v>
      </c>
      <c r="F21" s="2">
        <f t="shared" si="1"/>
        <v>872933.73913043481</v>
      </c>
      <c r="G21" s="2">
        <v>158003</v>
      </c>
      <c r="H21" s="45">
        <f t="shared" si="2"/>
        <v>736646</v>
      </c>
      <c r="I21" s="52">
        <v>142057.04347826086</v>
      </c>
      <c r="J21" s="3">
        <f t="shared" si="3"/>
        <v>2414969.7391304336</v>
      </c>
      <c r="K21" s="3">
        <v>215183</v>
      </c>
      <c r="L21" s="53">
        <f t="shared" si="4"/>
        <v>2127155</v>
      </c>
      <c r="M21" s="35">
        <v>159810.21739130441</v>
      </c>
      <c r="N21" s="3">
        <f t="shared" si="5"/>
        <v>2716773.6956521743</v>
      </c>
      <c r="O21" s="3">
        <v>177486</v>
      </c>
      <c r="P21" s="53">
        <f t="shared" si="6"/>
        <v>2299760</v>
      </c>
      <c r="Q21" s="52">
        <v>20541.347826086949</v>
      </c>
      <c r="R21" s="3">
        <f t="shared" si="7"/>
        <v>349202.91304347821</v>
      </c>
      <c r="S21" s="3">
        <v>810</v>
      </c>
      <c r="T21" s="53">
        <f t="shared" si="8"/>
        <v>460689</v>
      </c>
      <c r="U21" s="126">
        <f>SUM(E21+I21+Table22[[#This Row],[Column9]]+Table22[[#This Row],[Column13]])</f>
        <v>373757.65217391314</v>
      </c>
      <c r="V21" s="35">
        <f t="shared" si="9"/>
        <v>6353880.0869565234</v>
      </c>
      <c r="W21" s="35">
        <f>SUM(G21+K21+Table22[[#This Row],[Column11]]+Table22[[#This Row],[Column15]])</f>
        <v>551482</v>
      </c>
      <c r="X21" s="35">
        <f t="shared" si="10"/>
        <v>5624250</v>
      </c>
      <c r="Y21" s="242">
        <f>Table22[[#This Row],[Column19]]/Table22[[#This Row],[Column17]]</f>
        <v>1.4755069141524626</v>
      </c>
      <c r="Z21" s="243">
        <f t="shared" si="0"/>
        <v>0.88516779086619302</v>
      </c>
      <c r="AA21" s="244">
        <v>11</v>
      </c>
    </row>
    <row r="22" spans="1:27" x14ac:dyDescent="0.25">
      <c r="A22" s="233">
        <v>5</v>
      </c>
      <c r="B22" s="233">
        <v>2</v>
      </c>
      <c r="C22" s="240">
        <v>44197</v>
      </c>
      <c r="D22" s="241">
        <v>44286</v>
      </c>
      <c r="E22" s="44">
        <v>51349.043478260872</v>
      </c>
      <c r="F22" s="2">
        <f t="shared" si="1"/>
        <v>924282.78260869568</v>
      </c>
      <c r="G22" s="2">
        <v>130130</v>
      </c>
      <c r="H22" s="45">
        <f t="shared" si="2"/>
        <v>866776</v>
      </c>
      <c r="I22" s="52">
        <v>142057.04347826086</v>
      </c>
      <c r="J22" s="3">
        <f t="shared" si="3"/>
        <v>2557026.7826086944</v>
      </c>
      <c r="K22" s="3">
        <v>56232</v>
      </c>
      <c r="L22" s="53">
        <f t="shared" si="4"/>
        <v>2183387</v>
      </c>
      <c r="M22" s="35">
        <v>159810.21739130441</v>
      </c>
      <c r="N22" s="3">
        <f t="shared" si="5"/>
        <v>2876583.9130434785</v>
      </c>
      <c r="O22" s="3">
        <v>266675</v>
      </c>
      <c r="P22" s="53">
        <f t="shared" si="6"/>
        <v>2566435</v>
      </c>
      <c r="Q22" s="52">
        <v>20541.347826086949</v>
      </c>
      <c r="R22" s="3">
        <f t="shared" si="7"/>
        <v>369744.26086956519</v>
      </c>
      <c r="S22" s="3">
        <v>1597</v>
      </c>
      <c r="T22" s="53">
        <f t="shared" si="8"/>
        <v>462286</v>
      </c>
      <c r="U22" s="126">
        <f>SUM(E22+I22+Table22[[#This Row],[Column9]]+Table22[[#This Row],[Column13]])</f>
        <v>373757.65217391314</v>
      </c>
      <c r="V22" s="35">
        <f t="shared" si="9"/>
        <v>6727637.7391304364</v>
      </c>
      <c r="W22" s="35">
        <f>SUM(G22+K22+Table22[[#This Row],[Column11]]+Table22[[#This Row],[Column15]])</f>
        <v>454634</v>
      </c>
      <c r="X22" s="35">
        <f t="shared" si="10"/>
        <v>6078884</v>
      </c>
      <c r="Y22" s="242">
        <f>Table22[[#This Row],[Column19]]/Table22[[#This Row],[Column17]]</f>
        <v>1.2163871357701441</v>
      </c>
      <c r="Z22" s="243">
        <f t="shared" si="0"/>
        <v>0.90356886558307914</v>
      </c>
      <c r="AA22" s="244">
        <v>8</v>
      </c>
    </row>
    <row r="23" spans="1:27" x14ac:dyDescent="0.25">
      <c r="A23" s="233">
        <v>5</v>
      </c>
      <c r="B23" s="233">
        <v>3</v>
      </c>
      <c r="C23" s="240">
        <v>44287</v>
      </c>
      <c r="D23" s="241">
        <v>44377</v>
      </c>
      <c r="E23" s="44">
        <v>51349.043478260872</v>
      </c>
      <c r="F23" s="2">
        <f t="shared" si="1"/>
        <v>975631.82608695654</v>
      </c>
      <c r="G23" s="2">
        <v>64085</v>
      </c>
      <c r="H23" s="45">
        <f t="shared" si="2"/>
        <v>930861</v>
      </c>
      <c r="I23" s="52">
        <v>142057.04347826086</v>
      </c>
      <c r="J23" s="3">
        <f t="shared" si="3"/>
        <v>2699083.8260869551</v>
      </c>
      <c r="K23" s="3">
        <v>64991</v>
      </c>
      <c r="L23" s="53">
        <f t="shared" si="4"/>
        <v>2248378</v>
      </c>
      <c r="M23" s="35">
        <v>159810.21739130441</v>
      </c>
      <c r="N23" s="3">
        <f t="shared" si="5"/>
        <v>3036394.1304347827</v>
      </c>
      <c r="O23" s="3">
        <v>97693</v>
      </c>
      <c r="P23" s="53">
        <f t="shared" si="6"/>
        <v>2664128</v>
      </c>
      <c r="Q23" s="52">
        <v>20541.347826086949</v>
      </c>
      <c r="R23" s="3">
        <f t="shared" si="7"/>
        <v>390285.60869565216</v>
      </c>
      <c r="S23" s="3">
        <v>1049</v>
      </c>
      <c r="T23" s="53">
        <f t="shared" si="8"/>
        <v>463335</v>
      </c>
      <c r="U23" s="126">
        <f>SUM(E23+I23+Table22[[#This Row],[Column9]]+Table22[[#This Row],[Column13]])</f>
        <v>373757.65217391314</v>
      </c>
      <c r="V23" s="35">
        <f t="shared" si="9"/>
        <v>7101395.3913043495</v>
      </c>
      <c r="W23" s="35">
        <f>SUM(G23+K23+Table22[[#This Row],[Column11]]+Table22[[#This Row],[Column15]])</f>
        <v>227818</v>
      </c>
      <c r="X23" s="35">
        <f t="shared" si="10"/>
        <v>6306702</v>
      </c>
      <c r="Y23" s="242">
        <f>Table22[[#This Row],[Column19]]/Table22[[#This Row],[Column17]]</f>
        <v>0.60953400866825336</v>
      </c>
      <c r="Z23" s="243">
        <f t="shared" si="0"/>
        <v>0.88809334679808838</v>
      </c>
      <c r="AA23" s="244">
        <v>6</v>
      </c>
    </row>
    <row r="24" spans="1:27" x14ac:dyDescent="0.25">
      <c r="A24" s="245">
        <v>5</v>
      </c>
      <c r="B24" s="245">
        <v>4</v>
      </c>
      <c r="C24" s="246">
        <v>44378</v>
      </c>
      <c r="D24" s="247">
        <v>44469</v>
      </c>
      <c r="E24" s="44">
        <v>51349.043478260872</v>
      </c>
      <c r="F24" s="5">
        <f t="shared" si="1"/>
        <v>1026980.8695652174</v>
      </c>
      <c r="G24" s="5">
        <v>211069</v>
      </c>
      <c r="H24" s="46">
        <f t="shared" si="2"/>
        <v>1141930</v>
      </c>
      <c r="I24" s="52">
        <v>142057.04347826086</v>
      </c>
      <c r="J24" s="6">
        <f t="shared" si="3"/>
        <v>2841140.8695652159</v>
      </c>
      <c r="K24" s="6">
        <v>340688</v>
      </c>
      <c r="L24" s="54">
        <f t="shared" si="4"/>
        <v>2589066</v>
      </c>
      <c r="M24" s="35">
        <v>159810.21739130441</v>
      </c>
      <c r="N24" s="6">
        <f t="shared" si="5"/>
        <v>3196204.3478260869</v>
      </c>
      <c r="O24" s="6">
        <v>347831</v>
      </c>
      <c r="P24" s="54">
        <f t="shared" si="6"/>
        <v>3011959</v>
      </c>
      <c r="Q24" s="52">
        <v>20541.347826086949</v>
      </c>
      <c r="R24" s="6">
        <f>SUM(R23+Q24)</f>
        <v>410826.95652173914</v>
      </c>
      <c r="S24" s="6">
        <v>5294</v>
      </c>
      <c r="T24" s="54">
        <f t="shared" si="8"/>
        <v>468629</v>
      </c>
      <c r="U24" s="126">
        <f>SUM(E24+I24+Table22[[#This Row],[Column9]]+Table22[[#This Row],[Column13]])</f>
        <v>373757.65217391314</v>
      </c>
      <c r="V24" s="35">
        <f t="shared" si="9"/>
        <v>7475153.0434782626</v>
      </c>
      <c r="W24" s="35">
        <f>SUM(G24+K24+Table22[[#This Row],[Column11]]+Table22[[#This Row],[Column15]])</f>
        <v>904882</v>
      </c>
      <c r="X24" s="35">
        <f t="shared" si="10"/>
        <v>7211584</v>
      </c>
      <c r="Y24" s="242">
        <f>Table22[[#This Row],[Column19]]/Table22[[#This Row],[Column17]]</f>
        <v>2.4210393947438149</v>
      </c>
      <c r="Z24" s="243">
        <f t="shared" si="0"/>
        <v>0.96474064919537472</v>
      </c>
      <c r="AA24" s="244">
        <v>14</v>
      </c>
    </row>
    <row r="25" spans="1:27" x14ac:dyDescent="0.25">
      <c r="A25" s="233">
        <v>6</v>
      </c>
      <c r="B25" s="233">
        <v>1</v>
      </c>
      <c r="C25" s="240">
        <v>44470</v>
      </c>
      <c r="D25" s="241">
        <v>44561</v>
      </c>
      <c r="E25" s="44">
        <v>51349.043478260872</v>
      </c>
      <c r="F25" s="2">
        <f t="shared" si="1"/>
        <v>1078329.9130434783</v>
      </c>
      <c r="G25" s="2">
        <v>0</v>
      </c>
      <c r="H25" s="45">
        <f t="shared" si="2"/>
        <v>1141930</v>
      </c>
      <c r="I25" s="52">
        <v>142057.04347826086</v>
      </c>
      <c r="J25" s="3">
        <f t="shared" si="3"/>
        <v>2983197.9130434766</v>
      </c>
      <c r="K25" s="3">
        <v>0</v>
      </c>
      <c r="L25" s="53">
        <f t="shared" si="4"/>
        <v>2589066</v>
      </c>
      <c r="M25" s="35">
        <v>159810.21739130441</v>
      </c>
      <c r="N25" s="3">
        <f t="shared" si="5"/>
        <v>3356014.5652173911</v>
      </c>
      <c r="O25" s="3">
        <v>0</v>
      </c>
      <c r="P25" s="53">
        <f t="shared" si="6"/>
        <v>3011959</v>
      </c>
      <c r="Q25" s="52">
        <v>20541.347826086949</v>
      </c>
      <c r="R25" s="3">
        <f t="shared" si="7"/>
        <v>431368.30434782611</v>
      </c>
      <c r="S25" s="3">
        <v>0</v>
      </c>
      <c r="T25" s="53">
        <f t="shared" si="8"/>
        <v>468629</v>
      </c>
      <c r="U25" s="126">
        <f>SUM(E25+I25+Table22[[#This Row],[Column9]]+Table22[[#This Row],[Column13]])</f>
        <v>373757.65217391314</v>
      </c>
      <c r="V25" s="35">
        <f t="shared" si="9"/>
        <v>7848910.6956521757</v>
      </c>
      <c r="W25" s="35">
        <f>SUM(G25+K25+Table22[[#This Row],[Column11]]+Table22[[#This Row],[Column15]])</f>
        <v>0</v>
      </c>
      <c r="X25" s="35">
        <f t="shared" si="10"/>
        <v>7211584</v>
      </c>
      <c r="Y25" s="242">
        <f>Table22[[#This Row],[Column19]]/Table22[[#This Row],[Column17]]</f>
        <v>0</v>
      </c>
      <c r="Z25" s="243">
        <f t="shared" si="0"/>
        <v>0.91880061828130921</v>
      </c>
      <c r="AA25" s="244">
        <v>8</v>
      </c>
    </row>
    <row r="26" spans="1:27" x14ac:dyDescent="0.25">
      <c r="A26" s="248">
        <v>6</v>
      </c>
      <c r="B26" s="248">
        <v>2</v>
      </c>
      <c r="C26" s="249">
        <v>44562</v>
      </c>
      <c r="D26" s="249">
        <v>44651</v>
      </c>
      <c r="E26" s="44">
        <v>51349.043478260872</v>
      </c>
      <c r="F26" s="2">
        <f t="shared" ref="F26:F28" si="11">SUM(F25+E26)</f>
        <v>1129678.9565217393</v>
      </c>
      <c r="G26" s="2">
        <v>25257</v>
      </c>
      <c r="H26" s="45">
        <f t="shared" si="2"/>
        <v>1167187</v>
      </c>
      <c r="I26" s="52">
        <v>142057.04347826086</v>
      </c>
      <c r="J26" s="3">
        <f t="shared" si="3"/>
        <v>3125254.9565217374</v>
      </c>
      <c r="K26" s="3">
        <v>219159</v>
      </c>
      <c r="L26" s="53">
        <f t="shared" si="4"/>
        <v>2808225</v>
      </c>
      <c r="M26" s="35">
        <v>159810.21739130441</v>
      </c>
      <c r="N26" s="3">
        <f t="shared" si="5"/>
        <v>3515824.7826086953</v>
      </c>
      <c r="O26" s="3">
        <v>341427</v>
      </c>
      <c r="P26" s="53">
        <f t="shared" si="6"/>
        <v>3353386</v>
      </c>
      <c r="Q26" s="52">
        <v>20541.347826086949</v>
      </c>
      <c r="R26" s="3">
        <f t="shared" si="7"/>
        <v>451909.65217391308</v>
      </c>
      <c r="S26" s="3">
        <v>1244</v>
      </c>
      <c r="T26" s="53">
        <f t="shared" si="8"/>
        <v>469873</v>
      </c>
      <c r="U26" s="126">
        <f>SUM(E26+I26+Table22[[#This Row],[Column9]]+Table22[[#This Row],[Column13]])</f>
        <v>373757.65217391314</v>
      </c>
      <c r="V26" s="35">
        <f t="shared" si="9"/>
        <v>8222668.3478260888</v>
      </c>
      <c r="W26" s="35">
        <f>SUM(G26+K26+Table22[[#This Row],[Column11]]+Table22[[#This Row],[Column15]])</f>
        <v>587087</v>
      </c>
      <c r="X26" s="35">
        <f t="shared" si="10"/>
        <v>7798671</v>
      </c>
      <c r="Y26" s="242">
        <f>Table22[[#This Row],[Column19]]/Table22[[#This Row],[Column17]]</f>
        <v>1.5707691777955159</v>
      </c>
      <c r="Z26" s="243">
        <f t="shared" si="0"/>
        <v>0.94843555280468228</v>
      </c>
      <c r="AA26" s="244">
        <v>3</v>
      </c>
    </row>
    <row r="27" spans="1:27" x14ac:dyDescent="0.25">
      <c r="A27" s="248">
        <v>6</v>
      </c>
      <c r="B27" s="248">
        <v>3</v>
      </c>
      <c r="C27" s="249">
        <v>44652</v>
      </c>
      <c r="D27" s="249">
        <v>44742</v>
      </c>
      <c r="E27" s="44">
        <v>51349.043478260872</v>
      </c>
      <c r="F27" s="2">
        <f t="shared" si="11"/>
        <v>1181028.0000000002</v>
      </c>
      <c r="G27" s="2">
        <v>13841</v>
      </c>
      <c r="H27" s="45">
        <f t="shared" si="2"/>
        <v>1181028</v>
      </c>
      <c r="I27" s="52">
        <v>142057.04347826086</v>
      </c>
      <c r="J27" s="3">
        <f t="shared" si="3"/>
        <v>3267311.9999999981</v>
      </c>
      <c r="K27" s="3">
        <v>0</v>
      </c>
      <c r="L27" s="53">
        <f t="shared" si="4"/>
        <v>2808225</v>
      </c>
      <c r="M27" s="35">
        <v>159810.21739130441</v>
      </c>
      <c r="N27" s="3">
        <f t="shared" si="5"/>
        <v>3675634.9999999995</v>
      </c>
      <c r="O27" s="3">
        <v>144091</v>
      </c>
      <c r="P27" s="53">
        <f>SUM(P26+O27)</f>
        <v>3497477</v>
      </c>
      <c r="Q27" s="52">
        <v>20541.347826086901</v>
      </c>
      <c r="R27" s="3">
        <f t="shared" si="7"/>
        <v>472451</v>
      </c>
      <c r="S27" s="3">
        <v>918</v>
      </c>
      <c r="T27" s="53">
        <f t="shared" si="8"/>
        <v>470791</v>
      </c>
      <c r="U27" s="126">
        <f>SUM(E27+I27+Table22[[#This Row],[Column9]]+Table22[[#This Row],[Column13]])</f>
        <v>373757.65217391308</v>
      </c>
      <c r="V27" s="35">
        <f t="shared" si="9"/>
        <v>8596426.0000000019</v>
      </c>
      <c r="W27" s="35">
        <f>SUM(G27+K27+Table22[[#This Row],[Column11]]+Table22[[#This Row],[Column15]])</f>
        <v>158850</v>
      </c>
      <c r="X27" s="35">
        <f t="shared" si="10"/>
        <v>7957521</v>
      </c>
      <c r="Y27" s="242">
        <f>Table22[[#This Row],[Column19]]/Table22[[#This Row],[Column17]]</f>
        <v>0.42500802077514532</v>
      </c>
      <c r="Z27" s="243">
        <f t="shared" si="0"/>
        <v>0.9256778340207894</v>
      </c>
      <c r="AA27" s="244">
        <v>36</v>
      </c>
    </row>
    <row r="28" spans="1:27" x14ac:dyDescent="0.25">
      <c r="A28" s="233">
        <v>6</v>
      </c>
      <c r="B28" s="233">
        <v>4</v>
      </c>
      <c r="C28" s="240">
        <v>44743</v>
      </c>
      <c r="D28" s="241">
        <v>44834</v>
      </c>
      <c r="E28" s="44"/>
      <c r="F28" s="2">
        <f t="shared" si="11"/>
        <v>1181028.0000000002</v>
      </c>
      <c r="G28" s="2">
        <v>0</v>
      </c>
      <c r="H28" s="45">
        <f>SUM(H27+G28)-8946</f>
        <v>1172082</v>
      </c>
      <c r="I28" s="52"/>
      <c r="J28" s="3">
        <f t="shared" si="3"/>
        <v>3267311.9999999981</v>
      </c>
      <c r="K28" s="3">
        <v>459087</v>
      </c>
      <c r="L28" s="53">
        <f>SUM(L27+K28)</f>
        <v>3267312</v>
      </c>
      <c r="M28" s="35"/>
      <c r="N28" s="3">
        <f t="shared" si="5"/>
        <v>3675634.9999999995</v>
      </c>
      <c r="O28" s="3">
        <v>178158</v>
      </c>
      <c r="P28" s="53">
        <f>SUM(P27+O28)-52058</f>
        <v>3623577</v>
      </c>
      <c r="Q28" s="52"/>
      <c r="R28" s="3">
        <f t="shared" si="7"/>
        <v>472451</v>
      </c>
      <c r="S28" s="3">
        <v>1660</v>
      </c>
      <c r="T28" s="53">
        <f t="shared" si="8"/>
        <v>472451</v>
      </c>
      <c r="U28" s="126">
        <f>SUM(E28+I28+Table22[[#This Row],[Column9]]+Table22[[#This Row],[Column13]])</f>
        <v>0</v>
      </c>
      <c r="V28" s="35">
        <f t="shared" si="9"/>
        <v>8596426.0000000019</v>
      </c>
      <c r="W28" s="35">
        <f>SUM(G28+K28+Table22[[#This Row],[Column11]]+Table22[[#This Row],[Column15]])</f>
        <v>638905</v>
      </c>
      <c r="X28" s="35">
        <f t="shared" si="10"/>
        <v>8596426</v>
      </c>
      <c r="Y28" s="242"/>
      <c r="Z28" s="243">
        <f t="shared" si="0"/>
        <v>0.99999999999999978</v>
      </c>
      <c r="AA28" s="244">
        <v>0</v>
      </c>
    </row>
    <row r="29" spans="1:27" ht="15.75" thickBot="1" x14ac:dyDescent="0.3">
      <c r="A29" s="250"/>
      <c r="B29" s="250"/>
      <c r="C29" s="251"/>
      <c r="D29" s="252"/>
      <c r="E29" s="47">
        <f>SUM(Table22[Column1])</f>
        <v>1181028.0000000002</v>
      </c>
      <c r="F29" s="48" t="s">
        <v>71</v>
      </c>
      <c r="G29" s="48" t="s">
        <v>19</v>
      </c>
      <c r="H29" s="49">
        <f>E29-H28</f>
        <v>8946.0000000002328</v>
      </c>
      <c r="I29" s="55">
        <f>SUM(Table22[Column5])</f>
        <v>3267311.9999999981</v>
      </c>
      <c r="J29" s="48" t="s">
        <v>71</v>
      </c>
      <c r="K29" s="48" t="s">
        <v>19</v>
      </c>
      <c r="L29" s="49">
        <f>J28-L28</f>
        <v>0</v>
      </c>
      <c r="M29" s="55">
        <f>SUM(Table22[Column9])</f>
        <v>3675634.9999999995</v>
      </c>
      <c r="N29" s="48" t="s">
        <v>71</v>
      </c>
      <c r="O29" s="48" t="s">
        <v>19</v>
      </c>
      <c r="P29" s="49">
        <f>N28-P28</f>
        <v>52057.999999999534</v>
      </c>
      <c r="Q29" s="56">
        <f>SUM(Table22[Column13])</f>
        <v>472451</v>
      </c>
      <c r="R29" s="48" t="s">
        <v>71</v>
      </c>
      <c r="S29" s="48" t="s">
        <v>19</v>
      </c>
      <c r="T29" s="49">
        <f>R28-T28</f>
        <v>0</v>
      </c>
      <c r="U29" s="253">
        <f>SUM(U5:U28)</f>
        <v>8596426.0000000019</v>
      </c>
      <c r="V29" s="121" t="s">
        <v>71</v>
      </c>
      <c r="W29" s="121" t="s">
        <v>19</v>
      </c>
      <c r="X29" s="132">
        <f>V28-X28</f>
        <v>0</v>
      </c>
      <c r="Y29" s="132"/>
      <c r="Z29" s="254"/>
      <c r="AA29" s="255">
        <f>SUM(AA5:AA28)</f>
        <v>311</v>
      </c>
    </row>
    <row r="30" spans="1:27" ht="15.75" thickTop="1" x14ac:dyDescent="0.25">
      <c r="I30" s="75"/>
      <c r="M30" s="75"/>
      <c r="Q30" s="75"/>
      <c r="U30" s="75"/>
    </row>
    <row r="31" spans="1:27" x14ac:dyDescent="0.25">
      <c r="A31" s="18" t="s">
        <v>159</v>
      </c>
      <c r="B31" s="377">
        <v>44742</v>
      </c>
    </row>
    <row r="32" spans="1:27" x14ac:dyDescent="0.25">
      <c r="A32" t="s">
        <v>160</v>
      </c>
    </row>
  </sheetData>
  <mergeCells count="7">
    <mergeCell ref="A1:AA1"/>
    <mergeCell ref="A2:D2"/>
    <mergeCell ref="E2:H2"/>
    <mergeCell ref="I2:L2"/>
    <mergeCell ref="M2:P2"/>
    <mergeCell ref="Q2:T2"/>
    <mergeCell ref="U2:X2"/>
  </mergeCells>
  <pageMargins left="0" right="0.2" top="0.75" bottom="0.25" header="0.3" footer="0.3"/>
  <pageSetup orientation="portrait" r:id="rId1"/>
  <headerFooter>
    <oddHeader xml:space="preserve">&amp;C&amp;"Arial,Regular"&amp;10Attachment A, “Program Description&amp;"-,Regular"&amp;11”
City of Dubuque </oddHead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3B388-96E7-4CE0-AFBA-E15C78BE329A}">
  <dimension ref="A1:Y33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Y27" sqref="Y27"/>
    </sheetView>
  </sheetViews>
  <sheetFormatPr defaultRowHeight="15" x14ac:dyDescent="0.25"/>
  <cols>
    <col min="1" max="1" width="2" customWidth="1"/>
    <col min="2" max="2" width="1.5703125" customWidth="1"/>
    <col min="5" max="5" width="9.85546875" bestFit="1" customWidth="1"/>
    <col min="9" max="9" width="12.85546875" bestFit="1" customWidth="1"/>
    <col min="10" max="10" width="11.42578125" bestFit="1" customWidth="1"/>
    <col min="11" max="11" width="9.85546875" bestFit="1" customWidth="1"/>
    <col min="12" max="12" width="11.42578125" bestFit="1" customWidth="1"/>
    <col min="13" max="13" width="10.28515625" bestFit="1" customWidth="1"/>
    <col min="17" max="17" width="12.85546875" bestFit="1" customWidth="1"/>
    <col min="18" max="20" width="11.42578125" bestFit="1" customWidth="1"/>
    <col min="22" max="22" width="12.85546875" customWidth="1"/>
    <col min="23" max="23" width="12.28515625" customWidth="1"/>
    <col min="24" max="24" width="12.85546875" customWidth="1"/>
    <col min="25" max="25" width="12.28515625" customWidth="1"/>
  </cols>
  <sheetData>
    <row r="1" spans="1:25" ht="15.75" thickBot="1" x14ac:dyDescent="0.3">
      <c r="A1" s="395" t="s">
        <v>72</v>
      </c>
      <c r="B1" s="395"/>
      <c r="C1" s="395"/>
      <c r="D1" s="395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396"/>
      <c r="R1" s="396"/>
      <c r="S1" s="396"/>
      <c r="T1" s="396"/>
      <c r="U1" s="396"/>
      <c r="V1" s="347"/>
      <c r="W1" s="347"/>
      <c r="X1" s="347"/>
      <c r="Y1" s="347"/>
    </row>
    <row r="2" spans="1:25" ht="15.75" thickTop="1" x14ac:dyDescent="0.25">
      <c r="A2" s="397" t="s">
        <v>30</v>
      </c>
      <c r="B2" s="397"/>
      <c r="C2" s="397"/>
      <c r="D2" s="398"/>
      <c r="E2" s="387" t="s">
        <v>73</v>
      </c>
      <c r="F2" s="388"/>
      <c r="G2" s="388"/>
      <c r="H2" s="389"/>
      <c r="I2" s="387" t="s">
        <v>74</v>
      </c>
      <c r="J2" s="388"/>
      <c r="K2" s="388"/>
      <c r="L2" s="389"/>
      <c r="M2" s="387" t="s">
        <v>34</v>
      </c>
      <c r="N2" s="388"/>
      <c r="O2" s="388"/>
      <c r="P2" s="389"/>
      <c r="Q2" s="390" t="s">
        <v>35</v>
      </c>
      <c r="R2" s="391"/>
      <c r="S2" s="391"/>
      <c r="T2" s="399"/>
      <c r="U2" s="57"/>
      <c r="V2" s="348"/>
      <c r="W2" s="348"/>
      <c r="X2" s="348"/>
      <c r="Y2" s="348"/>
    </row>
    <row r="3" spans="1:25" ht="84" x14ac:dyDescent="0.25">
      <c r="A3" s="65" t="s">
        <v>46</v>
      </c>
      <c r="B3" s="65" t="s">
        <v>47</v>
      </c>
      <c r="C3" s="65" t="s">
        <v>39</v>
      </c>
      <c r="D3" s="66" t="s">
        <v>40</v>
      </c>
      <c r="E3" s="42" t="s">
        <v>75</v>
      </c>
      <c r="F3" s="1" t="s">
        <v>76</v>
      </c>
      <c r="G3" s="1" t="s">
        <v>77</v>
      </c>
      <c r="H3" s="43" t="s">
        <v>78</v>
      </c>
      <c r="I3" s="50" t="s">
        <v>79</v>
      </c>
      <c r="J3" s="16" t="s">
        <v>80</v>
      </c>
      <c r="K3" s="16" t="s">
        <v>81</v>
      </c>
      <c r="L3" s="51" t="s">
        <v>82</v>
      </c>
      <c r="M3" s="50" t="s">
        <v>83</v>
      </c>
      <c r="N3" s="16" t="s">
        <v>84</v>
      </c>
      <c r="O3" s="16" t="s">
        <v>85</v>
      </c>
      <c r="P3" s="51" t="s">
        <v>86</v>
      </c>
      <c r="Q3" s="50" t="s">
        <v>87</v>
      </c>
      <c r="R3" s="16" t="s">
        <v>88</v>
      </c>
      <c r="S3" s="16" t="s">
        <v>89</v>
      </c>
      <c r="T3" s="37" t="s">
        <v>90</v>
      </c>
      <c r="U3" s="58" t="s">
        <v>91</v>
      </c>
      <c r="V3" s="349" t="s">
        <v>143</v>
      </c>
      <c r="W3" s="350" t="s">
        <v>144</v>
      </c>
      <c r="X3" s="349" t="s">
        <v>145</v>
      </c>
      <c r="Y3" s="350" t="s">
        <v>146</v>
      </c>
    </row>
    <row r="4" spans="1:25" x14ac:dyDescent="0.25">
      <c r="A4" s="65">
        <v>1</v>
      </c>
      <c r="B4" s="65">
        <v>1</v>
      </c>
      <c r="C4" s="67">
        <v>42644</v>
      </c>
      <c r="D4" s="68">
        <v>42735</v>
      </c>
      <c r="E4" s="44">
        <v>13043.478260869566</v>
      </c>
      <c r="F4" s="2">
        <f>SUM(0+ E4)</f>
        <v>13043.478260869566</v>
      </c>
      <c r="G4" s="2">
        <v>0</v>
      </c>
      <c r="H4" s="45">
        <f>SUM(0+ G4)</f>
        <v>0</v>
      </c>
      <c r="I4" s="52">
        <v>443977.08333333331</v>
      </c>
      <c r="J4" s="2">
        <f>SUM(0+ I4)</f>
        <v>443977.08333333331</v>
      </c>
      <c r="K4" s="2">
        <v>0</v>
      </c>
      <c r="L4" s="53">
        <f>SUM(0+ K4)</f>
        <v>0</v>
      </c>
      <c r="M4" s="52">
        <v>8879.5416666666661</v>
      </c>
      <c r="N4" s="3">
        <f>SUM(0+ M4)</f>
        <v>8879.5416666666661</v>
      </c>
      <c r="O4" s="2">
        <v>0</v>
      </c>
      <c r="P4" s="53">
        <v>0</v>
      </c>
      <c r="Q4" s="59">
        <v>474047.125</v>
      </c>
      <c r="R4" s="3">
        <f>SUM(0+ Q4)</f>
        <v>474047.125</v>
      </c>
      <c r="S4" s="3">
        <f>SUM(G4+K4+O4)</f>
        <v>0</v>
      </c>
      <c r="T4" s="4">
        <f>SUM(0+ S4)</f>
        <v>0</v>
      </c>
      <c r="U4" s="60">
        <f>SUM(T4/R4)*100</f>
        <v>0</v>
      </c>
      <c r="V4" s="344">
        <v>0</v>
      </c>
      <c r="W4" s="342">
        <v>0</v>
      </c>
      <c r="X4" s="344">
        <v>0</v>
      </c>
      <c r="Y4" s="342">
        <v>0</v>
      </c>
    </row>
    <row r="5" spans="1:25" x14ac:dyDescent="0.25">
      <c r="A5" s="65">
        <v>1</v>
      </c>
      <c r="B5" s="65">
        <v>2</v>
      </c>
      <c r="C5" s="67">
        <v>42736</v>
      </c>
      <c r="D5" s="68">
        <v>42825</v>
      </c>
      <c r="E5" s="44">
        <v>13043.478260869566</v>
      </c>
      <c r="F5" s="2">
        <f t="shared" ref="F5:F23" si="0">SUM(F4+E5)</f>
        <v>26086.956521739132</v>
      </c>
      <c r="G5" s="2">
        <v>0</v>
      </c>
      <c r="H5" s="45">
        <f t="shared" ref="H5:H23" si="1">SUM(H4+G5)</f>
        <v>0</v>
      </c>
      <c r="I5" s="52">
        <v>443977.08333333331</v>
      </c>
      <c r="J5" s="3">
        <f t="shared" ref="J5:J23" si="2">SUM(J4+I5)</f>
        <v>887954.16666666663</v>
      </c>
      <c r="K5" s="3">
        <v>0</v>
      </c>
      <c r="L5" s="53">
        <f t="shared" ref="L5:L23" si="3">SUM(L4+K5)</f>
        <v>0</v>
      </c>
      <c r="M5" s="52">
        <v>8879.5416666666661</v>
      </c>
      <c r="N5" s="3">
        <f t="shared" ref="N5:N24" si="4">SUM(N4+M5)</f>
        <v>17759.083333333332</v>
      </c>
      <c r="O5" s="3">
        <f>2046+1228</f>
        <v>3274</v>
      </c>
      <c r="P5" s="53">
        <f t="shared" ref="P5:P24" si="5">SUM(P4+O5)</f>
        <v>3274</v>
      </c>
      <c r="Q5" s="59">
        <v>474047.125</v>
      </c>
      <c r="R5" s="3">
        <f t="shared" ref="R5:R27" si="6">SUM(R4+Q5)</f>
        <v>948094.25</v>
      </c>
      <c r="S5" s="3">
        <f t="shared" ref="S5:S27" si="7">SUM(G5+K5+O5)</f>
        <v>3274</v>
      </c>
      <c r="T5" s="4">
        <f t="shared" ref="T5:T27" si="8">SUM(T4+S5)</f>
        <v>3274</v>
      </c>
      <c r="U5" s="60">
        <f t="shared" ref="U5:U25" si="9">SUM(T5/R5)*100</f>
        <v>0.34532431770364602</v>
      </c>
      <c r="V5" s="344">
        <v>0</v>
      </c>
      <c r="W5" s="342">
        <v>0</v>
      </c>
      <c r="X5" s="344">
        <v>0</v>
      </c>
      <c r="Y5" s="342">
        <v>0</v>
      </c>
    </row>
    <row r="6" spans="1:25" x14ac:dyDescent="0.25">
      <c r="A6" s="65">
        <v>1</v>
      </c>
      <c r="B6" s="65">
        <v>3</v>
      </c>
      <c r="C6" s="67">
        <v>42826</v>
      </c>
      <c r="D6" s="68">
        <v>42916</v>
      </c>
      <c r="E6" s="44">
        <v>13043.478260869566</v>
      </c>
      <c r="F6" s="2">
        <f>SUM(F5+E6)</f>
        <v>39130.434782608696</v>
      </c>
      <c r="G6" s="2">
        <v>0</v>
      </c>
      <c r="H6" s="45">
        <f t="shared" si="1"/>
        <v>0</v>
      </c>
      <c r="I6" s="52">
        <v>443977.08333333331</v>
      </c>
      <c r="J6" s="3">
        <f t="shared" si="2"/>
        <v>1331931.25</v>
      </c>
      <c r="K6" s="3">
        <f>8476+27387+16899</f>
        <v>52762</v>
      </c>
      <c r="L6" s="53">
        <f t="shared" si="3"/>
        <v>52762</v>
      </c>
      <c r="M6" s="52">
        <v>8879.5416666666661</v>
      </c>
      <c r="N6" s="3">
        <f t="shared" si="4"/>
        <v>26638.625</v>
      </c>
      <c r="O6" s="3">
        <f>2437+2827+2232</f>
        <v>7496</v>
      </c>
      <c r="P6" s="53">
        <f t="shared" si="5"/>
        <v>10770</v>
      </c>
      <c r="Q6" s="59">
        <v>474047.125</v>
      </c>
      <c r="R6" s="3">
        <f t="shared" si="6"/>
        <v>1422141.375</v>
      </c>
      <c r="S6" s="3">
        <f t="shared" si="7"/>
        <v>60258</v>
      </c>
      <c r="T6" s="4">
        <f t="shared" si="8"/>
        <v>63532</v>
      </c>
      <c r="U6" s="60">
        <f t="shared" si="9"/>
        <v>4.467347699521083</v>
      </c>
      <c r="V6" s="344">
        <v>0</v>
      </c>
      <c r="W6" s="342">
        <v>0</v>
      </c>
      <c r="X6" s="344">
        <v>0</v>
      </c>
      <c r="Y6" s="342">
        <v>0</v>
      </c>
    </row>
    <row r="7" spans="1:25" x14ac:dyDescent="0.25">
      <c r="A7" s="65">
        <v>1</v>
      </c>
      <c r="B7" s="65">
        <v>4</v>
      </c>
      <c r="C7" s="67">
        <v>42917</v>
      </c>
      <c r="D7" s="68">
        <v>43008</v>
      </c>
      <c r="E7" s="44">
        <v>13043.478260869566</v>
      </c>
      <c r="F7" s="2">
        <f t="shared" si="0"/>
        <v>52173.913043478264</v>
      </c>
      <c r="G7" s="2">
        <v>0</v>
      </c>
      <c r="H7" s="45">
        <f t="shared" si="1"/>
        <v>0</v>
      </c>
      <c r="I7" s="52">
        <v>443977.08333333331</v>
      </c>
      <c r="J7" s="3">
        <f t="shared" si="2"/>
        <v>1775908.3333333333</v>
      </c>
      <c r="K7" s="3">
        <f>71430+41918</f>
        <v>113348</v>
      </c>
      <c r="L7" s="53">
        <f t="shared" si="3"/>
        <v>166110</v>
      </c>
      <c r="M7" s="52">
        <v>8879.5416666666661</v>
      </c>
      <c r="N7" s="3">
        <f t="shared" si="4"/>
        <v>35518.166666666664</v>
      </c>
      <c r="O7" s="3">
        <f>5115+2279</f>
        <v>7394</v>
      </c>
      <c r="P7" s="53">
        <f t="shared" si="5"/>
        <v>18164</v>
      </c>
      <c r="Q7" s="59">
        <v>474047.125</v>
      </c>
      <c r="R7" s="3">
        <f t="shared" si="6"/>
        <v>1896188.5</v>
      </c>
      <c r="S7" s="3">
        <f t="shared" si="7"/>
        <v>120742</v>
      </c>
      <c r="T7" s="4">
        <f t="shared" si="8"/>
        <v>184274</v>
      </c>
      <c r="U7" s="60">
        <f t="shared" si="9"/>
        <v>9.718126652492618</v>
      </c>
      <c r="V7" s="351">
        <v>7.9047619047619051</v>
      </c>
      <c r="W7" s="342">
        <v>0</v>
      </c>
      <c r="X7" s="344">
        <v>0</v>
      </c>
      <c r="Y7" s="342">
        <v>0</v>
      </c>
    </row>
    <row r="8" spans="1:25" x14ac:dyDescent="0.25">
      <c r="A8" s="65">
        <v>2</v>
      </c>
      <c r="B8" s="65">
        <v>1</v>
      </c>
      <c r="C8" s="67">
        <v>43009</v>
      </c>
      <c r="D8" s="68">
        <v>43100</v>
      </c>
      <c r="E8" s="44">
        <v>13043.478260869566</v>
      </c>
      <c r="F8" s="2">
        <f t="shared" si="0"/>
        <v>65217.391304347831</v>
      </c>
      <c r="G8" s="2">
        <f>13151</f>
        <v>13151</v>
      </c>
      <c r="H8" s="45">
        <f t="shared" si="1"/>
        <v>13151</v>
      </c>
      <c r="I8" s="52">
        <v>443977.08333333331</v>
      </c>
      <c r="J8" s="3">
        <f t="shared" si="2"/>
        <v>2219885.4166666665</v>
      </c>
      <c r="K8" s="3">
        <f>15495+22227+21540</f>
        <v>59262</v>
      </c>
      <c r="L8" s="53">
        <f t="shared" si="3"/>
        <v>225372</v>
      </c>
      <c r="M8" s="52">
        <v>8879.5416666666661</v>
      </c>
      <c r="N8" s="3">
        <f t="shared" si="4"/>
        <v>44397.708333333328</v>
      </c>
      <c r="O8" s="3">
        <f>3395+4557+3488</f>
        <v>11440</v>
      </c>
      <c r="P8" s="53">
        <f t="shared" si="5"/>
        <v>29604</v>
      </c>
      <c r="Q8" s="59">
        <v>474047.125</v>
      </c>
      <c r="R8" s="3">
        <f t="shared" si="6"/>
        <v>2370235.625</v>
      </c>
      <c r="S8" s="3">
        <f t="shared" si="7"/>
        <v>83853</v>
      </c>
      <c r="T8" s="4">
        <f t="shared" si="8"/>
        <v>268127</v>
      </c>
      <c r="U8" s="60">
        <f t="shared" si="9"/>
        <v>11.312250865354368</v>
      </c>
      <c r="V8" s="351">
        <v>7.9047619047619051</v>
      </c>
      <c r="W8" s="342">
        <v>0</v>
      </c>
      <c r="X8" s="344">
        <v>0</v>
      </c>
      <c r="Y8" s="342">
        <v>0</v>
      </c>
    </row>
    <row r="9" spans="1:25" x14ac:dyDescent="0.25">
      <c r="A9" s="65">
        <v>2</v>
      </c>
      <c r="B9" s="65">
        <v>2</v>
      </c>
      <c r="C9" s="67">
        <v>43101</v>
      </c>
      <c r="D9" s="68">
        <v>43190</v>
      </c>
      <c r="E9" s="44">
        <v>13043.478260869566</v>
      </c>
      <c r="F9" s="2">
        <f t="shared" si="0"/>
        <v>78260.869565217392</v>
      </c>
      <c r="G9" s="2">
        <f>13861+13861+13861</f>
        <v>41583</v>
      </c>
      <c r="H9" s="45">
        <f t="shared" si="1"/>
        <v>54734</v>
      </c>
      <c r="I9" s="52">
        <v>443977.08333333331</v>
      </c>
      <c r="J9" s="3">
        <f t="shared" si="2"/>
        <v>2663862.5</v>
      </c>
      <c r="K9" s="3">
        <f>16569+9855+36302</f>
        <v>62726</v>
      </c>
      <c r="L9" s="53">
        <f t="shared" si="3"/>
        <v>288098</v>
      </c>
      <c r="M9" s="52">
        <v>8879.5416666666661</v>
      </c>
      <c r="N9" s="3">
        <f t="shared" si="4"/>
        <v>53277.249999999993</v>
      </c>
      <c r="O9" s="3">
        <f>4278+4232+2046</f>
        <v>10556</v>
      </c>
      <c r="P9" s="53">
        <f t="shared" si="5"/>
        <v>40160</v>
      </c>
      <c r="Q9" s="59">
        <v>474047.125</v>
      </c>
      <c r="R9" s="3">
        <f t="shared" si="6"/>
        <v>2844282.75</v>
      </c>
      <c r="S9" s="3">
        <f t="shared" si="7"/>
        <v>114865</v>
      </c>
      <c r="T9" s="4">
        <f t="shared" si="8"/>
        <v>382992</v>
      </c>
      <c r="U9" s="60">
        <f t="shared" si="9"/>
        <v>13.465327946034902</v>
      </c>
      <c r="V9" s="351">
        <v>7.9047619047619051</v>
      </c>
      <c r="W9" s="342">
        <v>0</v>
      </c>
      <c r="X9" s="344">
        <v>0</v>
      </c>
      <c r="Y9" s="342">
        <v>0</v>
      </c>
    </row>
    <row r="10" spans="1:25" x14ac:dyDescent="0.25">
      <c r="A10" s="65">
        <v>2</v>
      </c>
      <c r="B10" s="65">
        <v>3</v>
      </c>
      <c r="C10" s="67">
        <v>43191</v>
      </c>
      <c r="D10" s="68">
        <v>43281</v>
      </c>
      <c r="E10" s="44">
        <v>13043.478260869566</v>
      </c>
      <c r="F10" s="2">
        <f t="shared" si="0"/>
        <v>91304.34782608696</v>
      </c>
      <c r="G10" s="2">
        <f>13861+13861+13861</f>
        <v>41583</v>
      </c>
      <c r="H10" s="45">
        <f t="shared" si="1"/>
        <v>96317</v>
      </c>
      <c r="I10" s="52">
        <v>443977.08333333331</v>
      </c>
      <c r="J10" s="3">
        <f t="shared" si="2"/>
        <v>3107839.5833333335</v>
      </c>
      <c r="K10" s="3">
        <f>17424+31059+19549</f>
        <v>68032</v>
      </c>
      <c r="L10" s="53">
        <f t="shared" si="3"/>
        <v>356130</v>
      </c>
      <c r="M10" s="52">
        <v>8879.5416666666661</v>
      </c>
      <c r="N10" s="3">
        <f t="shared" si="4"/>
        <v>62156.791666666657</v>
      </c>
      <c r="O10" s="3">
        <f>2325+2558+3441</f>
        <v>8324</v>
      </c>
      <c r="P10" s="53">
        <f t="shared" si="5"/>
        <v>48484</v>
      </c>
      <c r="Q10" s="59">
        <v>474047.125</v>
      </c>
      <c r="R10" s="3">
        <f t="shared" si="6"/>
        <v>3318329.875</v>
      </c>
      <c r="S10" s="3">
        <f t="shared" si="7"/>
        <v>117939</v>
      </c>
      <c r="T10" s="4">
        <f t="shared" si="8"/>
        <v>500931</v>
      </c>
      <c r="U10" s="60">
        <f t="shared" si="9"/>
        <v>15.095877108962833</v>
      </c>
      <c r="V10" s="351">
        <v>7.9047619047619051</v>
      </c>
      <c r="W10" s="342">
        <v>0</v>
      </c>
      <c r="X10" s="344">
        <v>0</v>
      </c>
      <c r="Y10" s="342">
        <v>0</v>
      </c>
    </row>
    <row r="11" spans="1:25" x14ac:dyDescent="0.25">
      <c r="A11" s="65">
        <v>2</v>
      </c>
      <c r="B11" s="65">
        <v>4</v>
      </c>
      <c r="C11" s="67">
        <v>43282</v>
      </c>
      <c r="D11" s="68">
        <v>43373</v>
      </c>
      <c r="E11" s="44">
        <v>13043.478260869566</v>
      </c>
      <c r="F11" s="2">
        <f t="shared" si="0"/>
        <v>104347.82608695653</v>
      </c>
      <c r="G11" s="2">
        <f>13861+13861+13861</f>
        <v>41583</v>
      </c>
      <c r="H11" s="45">
        <f t="shared" si="1"/>
        <v>137900</v>
      </c>
      <c r="I11" s="52">
        <v>443977.08333333331</v>
      </c>
      <c r="J11" s="3">
        <f t="shared" si="2"/>
        <v>3551816.666666667</v>
      </c>
      <c r="K11" s="3">
        <f>26616+24613+92570</f>
        <v>143799</v>
      </c>
      <c r="L11" s="53">
        <f t="shared" si="3"/>
        <v>499929</v>
      </c>
      <c r="M11" s="52">
        <v>8879.5416666666661</v>
      </c>
      <c r="N11" s="3">
        <f t="shared" si="4"/>
        <v>71036.333333333328</v>
      </c>
      <c r="O11" s="3">
        <f>3999+3813+3209</f>
        <v>11021</v>
      </c>
      <c r="P11" s="53">
        <f t="shared" si="5"/>
        <v>59505</v>
      </c>
      <c r="Q11" s="59">
        <v>474047.125</v>
      </c>
      <c r="R11" s="3">
        <f t="shared" si="6"/>
        <v>3792377</v>
      </c>
      <c r="S11" s="3">
        <f t="shared" si="7"/>
        <v>196403</v>
      </c>
      <c r="T11" s="4">
        <f t="shared" si="8"/>
        <v>697334</v>
      </c>
      <c r="U11" s="60">
        <f t="shared" si="9"/>
        <v>18.387781594498648</v>
      </c>
      <c r="V11" s="351">
        <v>7.9047619047619051</v>
      </c>
      <c r="W11" s="342">
        <v>0</v>
      </c>
      <c r="X11" s="344">
        <v>0</v>
      </c>
      <c r="Y11" s="342">
        <v>0</v>
      </c>
    </row>
    <row r="12" spans="1:25" x14ac:dyDescent="0.25">
      <c r="A12" s="65">
        <v>3</v>
      </c>
      <c r="B12" s="65">
        <v>1</v>
      </c>
      <c r="C12" s="67">
        <v>43374</v>
      </c>
      <c r="D12" s="68">
        <v>43465</v>
      </c>
      <c r="E12" s="44">
        <v>13043.478260869566</v>
      </c>
      <c r="F12" s="2">
        <f>SUM(F11+E12)</f>
        <v>117391.3043478261</v>
      </c>
      <c r="G12" s="2">
        <f>13861+13861+13861+13861</f>
        <v>55444</v>
      </c>
      <c r="H12" s="45">
        <f t="shared" si="1"/>
        <v>193344</v>
      </c>
      <c r="I12" s="52">
        <v>443977.08333333331</v>
      </c>
      <c r="J12" s="3">
        <f t="shared" si="2"/>
        <v>3995793.7500000005</v>
      </c>
      <c r="K12" s="3">
        <f>50033+70165+76115+64110</f>
        <v>260423</v>
      </c>
      <c r="L12" s="53">
        <f t="shared" si="3"/>
        <v>760352</v>
      </c>
      <c r="M12" s="52">
        <v>8879.5416666666661</v>
      </c>
      <c r="N12" s="3">
        <f t="shared" si="4"/>
        <v>79915.875</v>
      </c>
      <c r="O12" s="3">
        <f>2139+5487+4371+2000</f>
        <v>13997</v>
      </c>
      <c r="P12" s="53">
        <f t="shared" si="5"/>
        <v>73502</v>
      </c>
      <c r="Q12" s="59">
        <v>474047.125</v>
      </c>
      <c r="R12" s="3">
        <f t="shared" si="6"/>
        <v>4266424.125</v>
      </c>
      <c r="S12" s="3">
        <f t="shared" si="7"/>
        <v>329864</v>
      </c>
      <c r="T12" s="4">
        <f t="shared" si="8"/>
        <v>1027198</v>
      </c>
      <c r="U12" s="60">
        <f t="shared" si="9"/>
        <v>24.076321760439136</v>
      </c>
      <c r="V12" s="351">
        <v>7.9047619047619051</v>
      </c>
      <c r="W12" s="342">
        <v>0</v>
      </c>
      <c r="X12" s="344">
        <v>0</v>
      </c>
      <c r="Y12" s="342">
        <v>0</v>
      </c>
    </row>
    <row r="13" spans="1:25" x14ac:dyDescent="0.25">
      <c r="A13" s="65">
        <v>3</v>
      </c>
      <c r="B13" s="65">
        <v>2</v>
      </c>
      <c r="C13" s="67">
        <v>43466</v>
      </c>
      <c r="D13" s="68">
        <v>43555</v>
      </c>
      <c r="E13" s="44">
        <v>13043.478260869566</v>
      </c>
      <c r="F13" s="2">
        <f t="shared" si="0"/>
        <v>130434.78260869566</v>
      </c>
      <c r="G13" s="2">
        <f>13895+13895+13861</f>
        <v>41651</v>
      </c>
      <c r="H13" s="45">
        <f t="shared" si="1"/>
        <v>234995</v>
      </c>
      <c r="I13" s="52">
        <v>443977.08333333331</v>
      </c>
      <c r="J13" s="3">
        <f t="shared" si="2"/>
        <v>4439770.833333334</v>
      </c>
      <c r="K13" s="3">
        <f>46490+84565+95831</f>
        <v>226886</v>
      </c>
      <c r="L13" s="53">
        <f t="shared" si="3"/>
        <v>987238</v>
      </c>
      <c r="M13" s="52">
        <v>8879.5416666666661</v>
      </c>
      <c r="N13" s="3">
        <f t="shared" si="4"/>
        <v>88795.416666666672</v>
      </c>
      <c r="O13" s="3">
        <f>4557+4046</f>
        <v>8603</v>
      </c>
      <c r="P13" s="53">
        <f t="shared" si="5"/>
        <v>82105</v>
      </c>
      <c r="Q13" s="59">
        <v>474047.125</v>
      </c>
      <c r="R13" s="3">
        <f t="shared" si="6"/>
        <v>4740471.25</v>
      </c>
      <c r="S13" s="3">
        <f t="shared" si="7"/>
        <v>277140</v>
      </c>
      <c r="T13" s="4">
        <f t="shared" si="8"/>
        <v>1304338</v>
      </c>
      <c r="U13" s="60">
        <f t="shared" si="9"/>
        <v>27.514943793826408</v>
      </c>
      <c r="V13" s="351">
        <v>7.9047619047619051</v>
      </c>
      <c r="W13" s="342">
        <v>0</v>
      </c>
      <c r="X13" s="344">
        <v>0</v>
      </c>
      <c r="Y13" s="342">
        <v>0</v>
      </c>
    </row>
    <row r="14" spans="1:25" x14ac:dyDescent="0.25">
      <c r="A14" s="65">
        <v>3</v>
      </c>
      <c r="B14" s="65">
        <v>3</v>
      </c>
      <c r="C14" s="67">
        <v>43556</v>
      </c>
      <c r="D14" s="68">
        <v>43646</v>
      </c>
      <c r="E14" s="44">
        <v>13043.478260869566</v>
      </c>
      <c r="F14" s="2">
        <f t="shared" si="0"/>
        <v>143478.26086956522</v>
      </c>
      <c r="G14" s="2">
        <v>0</v>
      </c>
      <c r="H14" s="45">
        <f t="shared" si="1"/>
        <v>234995</v>
      </c>
      <c r="I14" s="52">
        <v>443977.08333333331</v>
      </c>
      <c r="J14" s="3">
        <f t="shared" si="2"/>
        <v>4883747.916666667</v>
      </c>
      <c r="K14" s="3">
        <f>31085+181574+152693+69643</f>
        <v>434995</v>
      </c>
      <c r="L14" s="53">
        <f t="shared" si="3"/>
        <v>1422233</v>
      </c>
      <c r="M14" s="52">
        <v>8879.5416666666661</v>
      </c>
      <c r="N14" s="3">
        <f t="shared" si="4"/>
        <v>97674.958333333343</v>
      </c>
      <c r="O14" s="3">
        <f>4906+7267+6068</f>
        <v>18241</v>
      </c>
      <c r="P14" s="53">
        <f t="shared" si="5"/>
        <v>100346</v>
      </c>
      <c r="Q14" s="59">
        <v>474047.125</v>
      </c>
      <c r="R14" s="3">
        <f t="shared" si="6"/>
        <v>5214518.375</v>
      </c>
      <c r="S14" s="3">
        <f t="shared" si="7"/>
        <v>453236</v>
      </c>
      <c r="T14" s="4">
        <f t="shared" si="8"/>
        <v>1757574</v>
      </c>
      <c r="U14" s="60">
        <f t="shared" si="9"/>
        <v>33.705394700042646</v>
      </c>
      <c r="V14" s="351">
        <v>7.9047619047619051</v>
      </c>
      <c r="W14" s="342">
        <v>0</v>
      </c>
      <c r="X14" s="344">
        <v>0</v>
      </c>
      <c r="Y14" s="342">
        <v>0</v>
      </c>
    </row>
    <row r="15" spans="1:25" x14ac:dyDescent="0.25">
      <c r="A15" s="65">
        <v>3</v>
      </c>
      <c r="B15" s="65">
        <v>4</v>
      </c>
      <c r="C15" s="67">
        <v>43653</v>
      </c>
      <c r="D15" s="68">
        <v>43738</v>
      </c>
      <c r="E15" s="44">
        <v>13043.478260869566</v>
      </c>
      <c r="F15" s="2">
        <f t="shared" si="0"/>
        <v>156521.73913043478</v>
      </c>
      <c r="G15" s="2">
        <f>13861</f>
        <v>13861</v>
      </c>
      <c r="H15" s="45">
        <f t="shared" si="1"/>
        <v>248856</v>
      </c>
      <c r="I15" s="52">
        <v>443977.08333333331</v>
      </c>
      <c r="J15" s="3">
        <f t="shared" si="2"/>
        <v>5327725</v>
      </c>
      <c r="K15" s="3">
        <f>128514+271418</f>
        <v>399932</v>
      </c>
      <c r="L15" s="53">
        <f t="shared" si="3"/>
        <v>1822165</v>
      </c>
      <c r="M15" s="52">
        <v>8879.5416666666661</v>
      </c>
      <c r="N15" s="3">
        <f t="shared" si="4"/>
        <v>106554.50000000001</v>
      </c>
      <c r="O15" s="3">
        <f>9266+7707</f>
        <v>16973</v>
      </c>
      <c r="P15" s="53">
        <f t="shared" si="5"/>
        <v>117319</v>
      </c>
      <c r="Q15" s="59">
        <v>474047.125</v>
      </c>
      <c r="R15" s="3">
        <f t="shared" si="6"/>
        <v>5688565.5</v>
      </c>
      <c r="S15" s="3">
        <f t="shared" si="7"/>
        <v>430766</v>
      </c>
      <c r="T15" s="4">
        <f t="shared" si="8"/>
        <v>2188340</v>
      </c>
      <c r="U15" s="60">
        <f t="shared" si="9"/>
        <v>38.469100865587293</v>
      </c>
      <c r="V15" s="351">
        <v>7.9047619047619051</v>
      </c>
      <c r="W15" s="342">
        <v>0</v>
      </c>
      <c r="X15" s="344">
        <v>0</v>
      </c>
      <c r="Y15" s="342">
        <v>0</v>
      </c>
    </row>
    <row r="16" spans="1:25" x14ac:dyDescent="0.25">
      <c r="A16" s="65">
        <v>4</v>
      </c>
      <c r="B16" s="65">
        <v>1</v>
      </c>
      <c r="C16" s="67">
        <v>43739</v>
      </c>
      <c r="D16" s="68">
        <v>43830</v>
      </c>
      <c r="E16" s="44">
        <v>13043.478260869566</v>
      </c>
      <c r="F16" s="2">
        <f t="shared" si="0"/>
        <v>169565.21739130435</v>
      </c>
      <c r="G16" s="2">
        <f>13861+10000</f>
        <v>23861</v>
      </c>
      <c r="H16" s="45">
        <f t="shared" si="1"/>
        <v>272717</v>
      </c>
      <c r="I16" s="52">
        <v>443977.08333333331</v>
      </c>
      <c r="J16" s="3">
        <f t="shared" si="2"/>
        <v>5771702.083333333</v>
      </c>
      <c r="K16" s="3">
        <f>636145+139172+257757+179093</f>
        <v>1212167</v>
      </c>
      <c r="L16" s="53">
        <f t="shared" si="3"/>
        <v>3034332</v>
      </c>
      <c r="M16" s="52">
        <v>8879.5416666666661</v>
      </c>
      <c r="N16" s="3">
        <f t="shared" si="4"/>
        <v>115434.04166666669</v>
      </c>
      <c r="O16" s="3">
        <f>8138+3813+5348+4976</f>
        <v>22275</v>
      </c>
      <c r="P16" s="53">
        <f t="shared" si="5"/>
        <v>139594</v>
      </c>
      <c r="Q16" s="59">
        <v>474047.125</v>
      </c>
      <c r="R16" s="3">
        <f t="shared" si="6"/>
        <v>6162612.625</v>
      </c>
      <c r="S16" s="3">
        <f t="shared" si="7"/>
        <v>1258303</v>
      </c>
      <c r="T16" s="4">
        <f t="shared" si="8"/>
        <v>3446643</v>
      </c>
      <c r="U16" s="60">
        <f t="shared" si="9"/>
        <v>55.928276036983583</v>
      </c>
      <c r="V16" s="351">
        <v>7.9047619047619051</v>
      </c>
      <c r="W16" s="342">
        <v>0</v>
      </c>
      <c r="X16" s="344">
        <v>0</v>
      </c>
      <c r="Y16" s="342">
        <v>0</v>
      </c>
    </row>
    <row r="17" spans="1:25" x14ac:dyDescent="0.25">
      <c r="A17" s="65">
        <v>4</v>
      </c>
      <c r="B17" s="65">
        <v>2</v>
      </c>
      <c r="C17" s="67">
        <v>43831</v>
      </c>
      <c r="D17" s="68">
        <v>43921</v>
      </c>
      <c r="E17" s="44">
        <v>13043.478260869566</v>
      </c>
      <c r="F17" s="2">
        <f t="shared" si="0"/>
        <v>182608.69565217392</v>
      </c>
      <c r="G17" s="2">
        <v>0</v>
      </c>
      <c r="H17" s="45">
        <f t="shared" si="1"/>
        <v>272717</v>
      </c>
      <c r="I17" s="52">
        <v>443977.08333333331</v>
      </c>
      <c r="J17" s="3">
        <f t="shared" si="2"/>
        <v>6215679.166666666</v>
      </c>
      <c r="K17" s="3">
        <f>212047+261796+309818</f>
        <v>783661</v>
      </c>
      <c r="L17" s="53">
        <f t="shared" si="3"/>
        <v>3817993</v>
      </c>
      <c r="M17" s="52">
        <v>8879.5416666666661</v>
      </c>
      <c r="N17" s="3">
        <f t="shared" si="4"/>
        <v>124313.58333333336</v>
      </c>
      <c r="O17" s="3">
        <f>6929+5162+7115</f>
        <v>19206</v>
      </c>
      <c r="P17" s="53">
        <f t="shared" si="5"/>
        <v>158800</v>
      </c>
      <c r="Q17" s="59">
        <v>474047.125</v>
      </c>
      <c r="R17" s="3">
        <f t="shared" si="6"/>
        <v>6636659.75</v>
      </c>
      <c r="S17" s="3">
        <f t="shared" si="7"/>
        <v>802867</v>
      </c>
      <c r="T17" s="4">
        <f t="shared" si="8"/>
        <v>4249510</v>
      </c>
      <c r="U17" s="60">
        <f t="shared" si="9"/>
        <v>64.030855280775839</v>
      </c>
      <c r="V17" s="351">
        <v>7.9047619047619051</v>
      </c>
      <c r="W17" s="342">
        <v>0</v>
      </c>
      <c r="X17" s="344">
        <v>0</v>
      </c>
      <c r="Y17" s="342">
        <v>0</v>
      </c>
    </row>
    <row r="18" spans="1:25" x14ac:dyDescent="0.25">
      <c r="A18" s="65">
        <v>4</v>
      </c>
      <c r="B18" s="65">
        <v>3</v>
      </c>
      <c r="C18" s="67">
        <v>43922</v>
      </c>
      <c r="D18" s="68">
        <v>44012</v>
      </c>
      <c r="E18" s="44">
        <v>13043.478260869566</v>
      </c>
      <c r="F18" s="2">
        <f t="shared" si="0"/>
        <v>195652.17391304349</v>
      </c>
      <c r="G18" s="2">
        <v>5000</v>
      </c>
      <c r="H18" s="45">
        <f t="shared" si="1"/>
        <v>277717</v>
      </c>
      <c r="I18" s="52">
        <v>443977.08333333331</v>
      </c>
      <c r="J18" s="3">
        <f t="shared" si="2"/>
        <v>6659656.2499999991</v>
      </c>
      <c r="K18" s="3">
        <f>277390+222527</f>
        <v>499917</v>
      </c>
      <c r="L18" s="53">
        <f t="shared" si="3"/>
        <v>4317910</v>
      </c>
      <c r="M18" s="52">
        <v>8879.5416666666661</v>
      </c>
      <c r="N18" s="3">
        <f t="shared" si="4"/>
        <v>133193.12500000003</v>
      </c>
      <c r="O18" s="3">
        <f>4883+5952</f>
        <v>10835</v>
      </c>
      <c r="P18" s="53">
        <f t="shared" si="5"/>
        <v>169635</v>
      </c>
      <c r="Q18" s="59">
        <v>474047.125</v>
      </c>
      <c r="R18" s="3">
        <f t="shared" si="6"/>
        <v>7110706.875</v>
      </c>
      <c r="S18" s="3">
        <f t="shared" si="7"/>
        <v>515752</v>
      </c>
      <c r="T18" s="4">
        <f t="shared" si="8"/>
        <v>4765262</v>
      </c>
      <c r="U18" s="60">
        <f t="shared" si="9"/>
        <v>67.015306407212861</v>
      </c>
      <c r="V18" s="351">
        <v>7.9047619047619051</v>
      </c>
      <c r="W18" s="342">
        <v>13</v>
      </c>
      <c r="X18" s="344">
        <v>1</v>
      </c>
      <c r="Y18" s="342">
        <v>1</v>
      </c>
    </row>
    <row r="19" spans="1:25" x14ac:dyDescent="0.25">
      <c r="A19" s="65">
        <v>4</v>
      </c>
      <c r="B19" s="65">
        <v>4</v>
      </c>
      <c r="C19" s="67">
        <v>44013</v>
      </c>
      <c r="D19" s="68">
        <v>44104</v>
      </c>
      <c r="E19" s="44">
        <v>13043.478260869566</v>
      </c>
      <c r="F19" s="2">
        <f t="shared" si="0"/>
        <v>208695.65217391305</v>
      </c>
      <c r="G19" s="2">
        <v>13861</v>
      </c>
      <c r="H19" s="45">
        <f t="shared" si="1"/>
        <v>291578</v>
      </c>
      <c r="I19" s="52">
        <v>443977.08333333331</v>
      </c>
      <c r="J19" s="3">
        <f t="shared" si="2"/>
        <v>7103633.3333333321</v>
      </c>
      <c r="K19" s="3">
        <f>70500+760265</f>
        <v>830765</v>
      </c>
      <c r="L19" s="53">
        <f t="shared" si="3"/>
        <v>5148675</v>
      </c>
      <c r="M19" s="52">
        <v>8879.5416666666661</v>
      </c>
      <c r="N19" s="3">
        <f t="shared" si="4"/>
        <v>142072.66666666669</v>
      </c>
      <c r="O19" s="3">
        <f>4976+4464</f>
        <v>9440</v>
      </c>
      <c r="P19" s="53">
        <f t="shared" si="5"/>
        <v>179075</v>
      </c>
      <c r="Q19" s="59">
        <v>474047.125</v>
      </c>
      <c r="R19" s="3">
        <f t="shared" si="6"/>
        <v>7584754</v>
      </c>
      <c r="S19" s="3">
        <f t="shared" si="7"/>
        <v>854066</v>
      </c>
      <c r="T19" s="4">
        <f t="shared" si="8"/>
        <v>5619328</v>
      </c>
      <c r="U19" s="60">
        <f t="shared" si="9"/>
        <v>74.087149036079481</v>
      </c>
      <c r="V19" s="351">
        <v>7.9047619047619051</v>
      </c>
      <c r="W19" s="342">
        <v>70</v>
      </c>
      <c r="X19" s="344">
        <v>0</v>
      </c>
      <c r="Y19" s="342">
        <v>0</v>
      </c>
    </row>
    <row r="20" spans="1:25" x14ac:dyDescent="0.25">
      <c r="A20" s="65">
        <v>5</v>
      </c>
      <c r="B20" s="65">
        <v>1</v>
      </c>
      <c r="C20" s="67">
        <v>44105</v>
      </c>
      <c r="D20" s="68">
        <v>44196</v>
      </c>
      <c r="E20" s="44">
        <v>13043.478260869566</v>
      </c>
      <c r="F20" s="2">
        <f t="shared" si="0"/>
        <v>221739.13043478262</v>
      </c>
      <c r="G20" s="2">
        <v>0</v>
      </c>
      <c r="H20" s="45">
        <f t="shared" si="1"/>
        <v>291578</v>
      </c>
      <c r="I20" s="52">
        <v>443977.08333333331</v>
      </c>
      <c r="J20" s="3">
        <f t="shared" si="2"/>
        <v>7547610.4166666651</v>
      </c>
      <c r="K20" s="3">
        <f>406085+306734+836685</f>
        <v>1549504</v>
      </c>
      <c r="L20" s="53">
        <f t="shared" si="3"/>
        <v>6698179</v>
      </c>
      <c r="M20" s="52">
        <v>8879.5416666666661</v>
      </c>
      <c r="N20" s="3">
        <f t="shared" si="4"/>
        <v>150952.20833333334</v>
      </c>
      <c r="O20" s="3">
        <f>2976+3162+2883</f>
        <v>9021</v>
      </c>
      <c r="P20" s="53">
        <f t="shared" si="5"/>
        <v>188096</v>
      </c>
      <c r="Q20" s="59">
        <v>474047.125</v>
      </c>
      <c r="R20" s="3">
        <f t="shared" si="6"/>
        <v>8058801.125</v>
      </c>
      <c r="S20" s="3">
        <f t="shared" si="7"/>
        <v>1558525</v>
      </c>
      <c r="T20" s="4">
        <f t="shared" si="8"/>
        <v>7177853</v>
      </c>
      <c r="U20" s="60">
        <f t="shared" si="9"/>
        <v>89.068496525281859</v>
      </c>
      <c r="V20" s="351">
        <v>7.9047619047619051</v>
      </c>
      <c r="W20" s="342">
        <v>0</v>
      </c>
      <c r="X20" s="344">
        <v>0</v>
      </c>
      <c r="Y20" s="342">
        <v>0</v>
      </c>
    </row>
    <row r="21" spans="1:25" x14ac:dyDescent="0.25">
      <c r="A21" s="65">
        <v>5</v>
      </c>
      <c r="B21" s="65">
        <v>2</v>
      </c>
      <c r="C21" s="67">
        <v>44197</v>
      </c>
      <c r="D21" s="68">
        <v>44286</v>
      </c>
      <c r="E21" s="44">
        <v>13043.478260869566</v>
      </c>
      <c r="F21" s="2">
        <f t="shared" si="0"/>
        <v>234782.60869565219</v>
      </c>
      <c r="G21" s="2">
        <v>0</v>
      </c>
      <c r="H21" s="45">
        <f t="shared" si="1"/>
        <v>291578</v>
      </c>
      <c r="I21" s="52">
        <v>443977.08333333331</v>
      </c>
      <c r="J21" s="3">
        <f t="shared" si="2"/>
        <v>7991587.4999999981</v>
      </c>
      <c r="K21" s="3">
        <f>671558+573535</f>
        <v>1245093</v>
      </c>
      <c r="L21" s="53">
        <f t="shared" si="3"/>
        <v>7943272</v>
      </c>
      <c r="M21" s="52">
        <v>8879.5416666666661</v>
      </c>
      <c r="N21" s="3">
        <f t="shared" si="4"/>
        <v>159831.75</v>
      </c>
      <c r="O21" s="3">
        <f>3999+1581</f>
        <v>5580</v>
      </c>
      <c r="P21" s="53">
        <f t="shared" si="5"/>
        <v>193676</v>
      </c>
      <c r="Q21" s="59">
        <v>474047.125</v>
      </c>
      <c r="R21" s="3">
        <f t="shared" si="6"/>
        <v>8532848.25</v>
      </c>
      <c r="S21" s="3">
        <f t="shared" si="7"/>
        <v>1250673</v>
      </c>
      <c r="T21" s="4">
        <f t="shared" si="8"/>
        <v>8428526</v>
      </c>
      <c r="U21" s="60">
        <f t="shared" si="9"/>
        <v>98.777404133490833</v>
      </c>
      <c r="V21" s="351">
        <v>7.9047619047619051</v>
      </c>
      <c r="W21" s="342">
        <v>0</v>
      </c>
      <c r="X21" s="344">
        <v>0</v>
      </c>
      <c r="Y21" s="342">
        <v>0</v>
      </c>
    </row>
    <row r="22" spans="1:25" x14ac:dyDescent="0.25">
      <c r="A22" s="65">
        <v>5</v>
      </c>
      <c r="B22" s="65">
        <v>3</v>
      </c>
      <c r="C22" s="67">
        <v>44287</v>
      </c>
      <c r="D22" s="68">
        <v>44377</v>
      </c>
      <c r="E22" s="44">
        <v>13043.478260869566</v>
      </c>
      <c r="F22" s="2">
        <f t="shared" si="0"/>
        <v>247826.08695652176</v>
      </c>
      <c r="G22" s="2">
        <v>0</v>
      </c>
      <c r="H22" s="45">
        <f t="shared" si="1"/>
        <v>291578</v>
      </c>
      <c r="I22" s="52">
        <v>443977.08333333331</v>
      </c>
      <c r="J22" s="3">
        <f t="shared" si="2"/>
        <v>8435564.5833333321</v>
      </c>
      <c r="K22" s="3">
        <f>308205+358465</f>
        <v>666670</v>
      </c>
      <c r="L22" s="53">
        <f t="shared" si="3"/>
        <v>8609942</v>
      </c>
      <c r="M22" s="52">
        <v>8879.5416666666661</v>
      </c>
      <c r="N22" s="3">
        <f t="shared" si="4"/>
        <v>168711.29166666666</v>
      </c>
      <c r="O22" s="3">
        <f>930+1395</f>
        <v>2325</v>
      </c>
      <c r="P22" s="53">
        <f t="shared" si="5"/>
        <v>196001</v>
      </c>
      <c r="Q22" s="59">
        <v>474047.125</v>
      </c>
      <c r="R22" s="3">
        <f t="shared" si="6"/>
        <v>9006895.375</v>
      </c>
      <c r="S22" s="3">
        <f t="shared" si="7"/>
        <v>668995</v>
      </c>
      <c r="T22" s="4">
        <f t="shared" si="8"/>
        <v>9097521</v>
      </c>
      <c r="U22" s="60">
        <f>SUM(T22/R22)*100</f>
        <v>101.00618050090317</v>
      </c>
      <c r="V22" s="351">
        <v>7.9047619047619051</v>
      </c>
      <c r="W22" s="342">
        <v>1</v>
      </c>
      <c r="X22" s="344">
        <v>0</v>
      </c>
      <c r="Y22" s="342">
        <v>0</v>
      </c>
    </row>
    <row r="23" spans="1:25" x14ac:dyDescent="0.25">
      <c r="A23" s="69">
        <v>5</v>
      </c>
      <c r="B23" s="69">
        <v>4</v>
      </c>
      <c r="C23" s="70">
        <v>44378</v>
      </c>
      <c r="D23" s="71">
        <v>44469</v>
      </c>
      <c r="E23" s="44">
        <v>13043.478260869566</v>
      </c>
      <c r="F23" s="5">
        <f t="shared" si="0"/>
        <v>260869.56521739133</v>
      </c>
      <c r="G23" s="5">
        <v>0</v>
      </c>
      <c r="H23" s="46">
        <f t="shared" si="1"/>
        <v>291578</v>
      </c>
      <c r="I23" s="52">
        <v>443977.08333333331</v>
      </c>
      <c r="J23" s="6">
        <f t="shared" si="2"/>
        <v>8879541.666666666</v>
      </c>
      <c r="K23" s="6">
        <f>112397</f>
        <v>112397</v>
      </c>
      <c r="L23" s="54">
        <f t="shared" si="3"/>
        <v>8722339</v>
      </c>
      <c r="M23" s="52">
        <v>8879.5416666666661</v>
      </c>
      <c r="N23" s="6">
        <f t="shared" si="4"/>
        <v>177590.83333333331</v>
      </c>
      <c r="O23" s="6">
        <f>2790</f>
        <v>2790</v>
      </c>
      <c r="P23" s="54">
        <f t="shared" si="5"/>
        <v>198791</v>
      </c>
      <c r="Q23" s="59">
        <v>474047.125</v>
      </c>
      <c r="R23" s="6">
        <f t="shared" si="6"/>
        <v>9480942.5</v>
      </c>
      <c r="S23" s="3">
        <f t="shared" si="7"/>
        <v>115187</v>
      </c>
      <c r="T23" s="7">
        <f t="shared" si="8"/>
        <v>9212708</v>
      </c>
      <c r="U23" s="61">
        <f t="shared" si="9"/>
        <v>97.170803430144204</v>
      </c>
      <c r="V23" s="351">
        <v>7.9047619047619051</v>
      </c>
      <c r="W23" s="342">
        <v>5</v>
      </c>
      <c r="X23" s="344">
        <v>0</v>
      </c>
      <c r="Y23" s="342">
        <v>0</v>
      </c>
    </row>
    <row r="24" spans="1:25" x14ac:dyDescent="0.25">
      <c r="A24" s="65">
        <v>6</v>
      </c>
      <c r="B24" s="65">
        <v>1</v>
      </c>
      <c r="C24" s="67">
        <v>44470</v>
      </c>
      <c r="D24" s="68">
        <v>44561</v>
      </c>
      <c r="E24" s="44">
        <v>13043.478260869566</v>
      </c>
      <c r="F24" s="2">
        <f t="shared" ref="F24" si="10">SUM(F23+E24)</f>
        <v>273913.04347826086</v>
      </c>
      <c r="G24" s="2">
        <v>0</v>
      </c>
      <c r="H24" s="45">
        <f t="shared" ref="H24" si="11">SUM(H23+G24)</f>
        <v>291578</v>
      </c>
      <c r="I24" s="52">
        <v>443977.08333333331</v>
      </c>
      <c r="J24" s="3">
        <f t="shared" ref="J24" si="12">SUM(J23+I24)</f>
        <v>9323518.75</v>
      </c>
      <c r="K24" s="3">
        <f>66870+198629+83951</f>
        <v>349450</v>
      </c>
      <c r="L24" s="53">
        <f t="shared" ref="L24" si="13">SUM(L23+K24)</f>
        <v>9071789</v>
      </c>
      <c r="M24" s="52">
        <v>8879.5416666666661</v>
      </c>
      <c r="N24" s="3">
        <f t="shared" si="4"/>
        <v>186470.37499999997</v>
      </c>
      <c r="O24" s="3">
        <f>2325+1767+1953</f>
        <v>6045</v>
      </c>
      <c r="P24" s="53">
        <f t="shared" si="5"/>
        <v>204836</v>
      </c>
      <c r="Q24" s="59">
        <v>474047.125</v>
      </c>
      <c r="R24" s="3">
        <f t="shared" si="6"/>
        <v>9954989.625</v>
      </c>
      <c r="S24" s="3">
        <f t="shared" si="7"/>
        <v>355495</v>
      </c>
      <c r="T24" s="3">
        <f t="shared" si="8"/>
        <v>9568203</v>
      </c>
      <c r="U24" s="60">
        <f t="shared" si="9"/>
        <v>96.114645624253981</v>
      </c>
      <c r="V24" s="351">
        <v>7.9047619047619051</v>
      </c>
      <c r="W24" s="342">
        <v>12</v>
      </c>
      <c r="X24" s="344">
        <v>0</v>
      </c>
      <c r="Y24" s="342">
        <v>0</v>
      </c>
    </row>
    <row r="25" spans="1:25" x14ac:dyDescent="0.25">
      <c r="A25" s="72">
        <v>6</v>
      </c>
      <c r="B25" s="72">
        <v>2</v>
      </c>
      <c r="C25" s="73">
        <v>44562</v>
      </c>
      <c r="D25" s="73">
        <v>44651</v>
      </c>
      <c r="E25" s="44">
        <v>13043.478260869566</v>
      </c>
      <c r="F25" s="2">
        <f t="shared" ref="F25:F27" si="14">SUM(F24+E25)</f>
        <v>286956.52173913043</v>
      </c>
      <c r="G25" s="2">
        <v>0</v>
      </c>
      <c r="H25" s="45">
        <f t="shared" ref="H25:H28" si="15">SUM(H24+G25)</f>
        <v>291578</v>
      </c>
      <c r="I25" s="52">
        <v>443977.08333333331</v>
      </c>
      <c r="J25" s="3">
        <f t="shared" ref="J25:J27" si="16">SUM(J24+I25)</f>
        <v>9767495.833333334</v>
      </c>
      <c r="K25" s="3">
        <f>341078+747752</f>
        <v>1088830</v>
      </c>
      <c r="L25" s="53">
        <f t="shared" ref="L25:L28" si="17">SUM(L24+K25)</f>
        <v>10160619</v>
      </c>
      <c r="M25" s="52">
        <v>8879.5416666666661</v>
      </c>
      <c r="N25" s="3">
        <f t="shared" ref="N25:N27" si="18">SUM(N24+M25)</f>
        <v>195349.91666666663</v>
      </c>
      <c r="O25" s="3">
        <f>2790+1209</f>
        <v>3999</v>
      </c>
      <c r="P25" s="53">
        <f t="shared" ref="P25:P28" si="19">SUM(P24+O25)</f>
        <v>208835</v>
      </c>
      <c r="Q25" s="59">
        <v>474047.125</v>
      </c>
      <c r="R25" s="3">
        <f t="shared" si="6"/>
        <v>10429036.75</v>
      </c>
      <c r="S25" s="3">
        <f t="shared" si="7"/>
        <v>1092829</v>
      </c>
      <c r="T25" s="3">
        <f t="shared" si="8"/>
        <v>10661032</v>
      </c>
      <c r="U25" s="60">
        <f t="shared" si="9"/>
        <v>102.22451272884814</v>
      </c>
      <c r="V25" s="351">
        <v>7.9047619047619051</v>
      </c>
      <c r="W25" s="342">
        <v>0</v>
      </c>
      <c r="X25" s="344">
        <v>0</v>
      </c>
      <c r="Y25" s="342">
        <v>0</v>
      </c>
    </row>
    <row r="26" spans="1:25" x14ac:dyDescent="0.25">
      <c r="A26" s="72">
        <v>6</v>
      </c>
      <c r="B26" s="72">
        <v>3</v>
      </c>
      <c r="C26" s="73">
        <v>44652</v>
      </c>
      <c r="D26" s="73">
        <v>44742</v>
      </c>
      <c r="E26" s="44">
        <v>13043.478260869566</v>
      </c>
      <c r="F26" s="2">
        <f t="shared" si="14"/>
        <v>300000</v>
      </c>
      <c r="G26" s="2">
        <v>0</v>
      </c>
      <c r="H26" s="45">
        <f t="shared" si="15"/>
        <v>291578</v>
      </c>
      <c r="I26" s="52">
        <v>443977.08333333331</v>
      </c>
      <c r="J26" s="3">
        <f t="shared" si="16"/>
        <v>10211472.916666668</v>
      </c>
      <c r="K26" s="3">
        <v>353233</v>
      </c>
      <c r="L26" s="53">
        <f t="shared" si="17"/>
        <v>10513852</v>
      </c>
      <c r="M26" s="52">
        <v>8879.5416666666661</v>
      </c>
      <c r="N26" s="3">
        <f t="shared" si="18"/>
        <v>204229.45833333328</v>
      </c>
      <c r="O26" s="3">
        <f>3813</f>
        <v>3813</v>
      </c>
      <c r="P26" s="53">
        <f t="shared" si="19"/>
        <v>212648</v>
      </c>
      <c r="Q26" s="59">
        <v>474047.125</v>
      </c>
      <c r="R26" s="3">
        <f t="shared" si="6"/>
        <v>10903083.875</v>
      </c>
      <c r="S26" s="3">
        <f t="shared" si="7"/>
        <v>357046</v>
      </c>
      <c r="T26" s="3">
        <f t="shared" si="8"/>
        <v>11018078</v>
      </c>
      <c r="U26" s="60">
        <f>SUM(T26/R26)*100</f>
        <v>101.05469357402335</v>
      </c>
      <c r="V26" s="351">
        <v>7.9047619047619051</v>
      </c>
      <c r="W26" s="342">
        <v>12</v>
      </c>
      <c r="X26" s="344">
        <v>0</v>
      </c>
      <c r="Y26" s="342">
        <v>0</v>
      </c>
    </row>
    <row r="27" spans="1:25" x14ac:dyDescent="0.25">
      <c r="A27" s="65">
        <v>6</v>
      </c>
      <c r="B27" s="65">
        <v>4</v>
      </c>
      <c r="C27" s="67">
        <v>44743</v>
      </c>
      <c r="D27" s="68">
        <v>44834</v>
      </c>
      <c r="E27" s="44">
        <v>12500</v>
      </c>
      <c r="F27" s="2">
        <f t="shared" si="14"/>
        <v>312500</v>
      </c>
      <c r="G27" s="2">
        <v>0</v>
      </c>
      <c r="H27" s="45">
        <f t="shared" si="15"/>
        <v>291578</v>
      </c>
      <c r="I27" s="52">
        <v>443977.08333333331</v>
      </c>
      <c r="J27" s="3">
        <f t="shared" si="16"/>
        <v>10655450.000000002</v>
      </c>
      <c r="K27" s="3">
        <v>110101</v>
      </c>
      <c r="L27" s="53">
        <f t="shared" si="17"/>
        <v>10623953</v>
      </c>
      <c r="M27" s="52">
        <v>8879.5416666666661</v>
      </c>
      <c r="N27" s="3">
        <f t="shared" si="18"/>
        <v>213108.99999999994</v>
      </c>
      <c r="O27" s="3"/>
      <c r="P27" s="53">
        <f t="shared" si="19"/>
        <v>212648</v>
      </c>
      <c r="Q27" s="59">
        <v>474047.125</v>
      </c>
      <c r="R27" s="3">
        <f t="shared" si="6"/>
        <v>11377131</v>
      </c>
      <c r="S27" s="3">
        <f t="shared" si="7"/>
        <v>110101</v>
      </c>
      <c r="T27" s="3">
        <f t="shared" si="8"/>
        <v>11128179</v>
      </c>
      <c r="U27" s="60">
        <f>SUM(T27/R27)*100</f>
        <v>97.811820923921857</v>
      </c>
      <c r="V27" s="351">
        <v>7.9047619047619051</v>
      </c>
      <c r="W27" s="342">
        <v>0</v>
      </c>
      <c r="X27" s="344">
        <v>0</v>
      </c>
      <c r="Y27" s="342">
        <v>0</v>
      </c>
    </row>
    <row r="28" spans="1:25" x14ac:dyDescent="0.25">
      <c r="A28" s="69">
        <v>7</v>
      </c>
      <c r="B28" s="69">
        <v>1</v>
      </c>
      <c r="C28" s="70">
        <v>44835</v>
      </c>
      <c r="D28" s="70">
        <v>44926</v>
      </c>
      <c r="E28" s="261"/>
      <c r="F28" s="5"/>
      <c r="G28" s="5">
        <v>8422</v>
      </c>
      <c r="H28" s="45">
        <f t="shared" si="15"/>
        <v>300000</v>
      </c>
      <c r="I28" s="262"/>
      <c r="J28" s="6"/>
      <c r="K28" s="6">
        <v>200069</v>
      </c>
      <c r="L28" s="53">
        <f t="shared" si="17"/>
        <v>10824022</v>
      </c>
      <c r="M28" s="262"/>
      <c r="N28" s="6"/>
      <c r="O28" s="6">
        <v>461</v>
      </c>
      <c r="P28" s="53">
        <f t="shared" si="19"/>
        <v>213109</v>
      </c>
      <c r="Q28" s="262">
        <f>SUM(E28+I28+M28)</f>
        <v>0</v>
      </c>
      <c r="R28" s="6">
        <v>11377131</v>
      </c>
      <c r="S28" s="6">
        <f>SUM(G28+K28+O28)</f>
        <v>208952</v>
      </c>
      <c r="T28" s="3">
        <f>SUM(T27+S28)</f>
        <v>11337131</v>
      </c>
      <c r="U28" s="60">
        <f>SUM(T28/R28)*100</f>
        <v>99.648417514046386</v>
      </c>
      <c r="V28" s="351"/>
      <c r="W28" s="342"/>
      <c r="X28" s="344">
        <v>0</v>
      </c>
      <c r="Y28" s="342">
        <v>0</v>
      </c>
    </row>
    <row r="29" spans="1:25" x14ac:dyDescent="0.25">
      <c r="A29" s="69">
        <v>7</v>
      </c>
      <c r="B29" s="69">
        <v>2</v>
      </c>
      <c r="C29" s="70">
        <v>44927</v>
      </c>
      <c r="D29" s="70">
        <v>45016</v>
      </c>
      <c r="E29" s="261"/>
      <c r="F29" s="5"/>
      <c r="G29" s="5"/>
      <c r="H29" s="5"/>
      <c r="I29" s="262"/>
      <c r="J29" s="6"/>
      <c r="K29" s="6"/>
      <c r="L29" s="6"/>
      <c r="M29" s="262"/>
      <c r="N29" s="6"/>
      <c r="O29" s="6"/>
      <c r="P29" s="6"/>
      <c r="Q29" s="262">
        <f>SUM(E29+I29+M29)</f>
        <v>0</v>
      </c>
      <c r="R29" s="6"/>
      <c r="S29" s="6">
        <f>SUM(G29+K29+O29)</f>
        <v>0</v>
      </c>
      <c r="T29" s="35"/>
      <c r="U29" s="38"/>
      <c r="V29" s="345"/>
      <c r="W29" s="345"/>
      <c r="X29" s="345"/>
      <c r="Y29" s="345"/>
    </row>
    <row r="30" spans="1:25" ht="15.75" thickBot="1" x14ac:dyDescent="0.3">
      <c r="A30" s="39"/>
      <c r="B30" s="39"/>
      <c r="C30" s="40"/>
      <c r="D30" s="64"/>
      <c r="E30" s="47">
        <v>300000</v>
      </c>
      <c r="F30" s="48" t="s">
        <v>71</v>
      </c>
      <c r="G30" s="48" t="s">
        <v>19</v>
      </c>
      <c r="H30" s="49">
        <f>E30-H28</f>
        <v>0</v>
      </c>
      <c r="I30" s="55">
        <v>10824022</v>
      </c>
      <c r="J30" s="48" t="s">
        <v>71</v>
      </c>
      <c r="K30" s="48" t="s">
        <v>19</v>
      </c>
      <c r="L30" s="49">
        <f>I30-L28</f>
        <v>0</v>
      </c>
      <c r="M30" s="56">
        <f>SUM(Table2[Quarter $ Projection6])</f>
        <v>213108.99999999994</v>
      </c>
      <c r="N30" s="48" t="s">
        <v>71</v>
      </c>
      <c r="O30" s="48" t="s">
        <v>19</v>
      </c>
      <c r="P30" s="49">
        <f>M30-P28</f>
        <v>0</v>
      </c>
      <c r="Q30" s="56">
        <f>SUM(Q4:Q29)</f>
        <v>11377131</v>
      </c>
      <c r="R30" s="48" t="s">
        <v>71</v>
      </c>
      <c r="S30" s="48" t="s">
        <v>19</v>
      </c>
      <c r="T30" s="62">
        <f>SUM(Q30-T28)</f>
        <v>40000</v>
      </c>
      <c r="U30" s="63"/>
      <c r="V30" s="345">
        <f>SUM(V4:V29)</f>
        <v>165.99999999999991</v>
      </c>
      <c r="W30" s="345">
        <f t="shared" ref="W30:Y30" si="20">SUM(W4:W29)</f>
        <v>113</v>
      </c>
      <c r="X30" s="345">
        <f t="shared" si="20"/>
        <v>1</v>
      </c>
      <c r="Y30" s="345">
        <f t="shared" si="20"/>
        <v>1</v>
      </c>
    </row>
    <row r="31" spans="1:25" ht="15.75" thickTop="1" x14ac:dyDescent="0.25">
      <c r="A31" s="19"/>
      <c r="B31" s="19"/>
      <c r="C31" s="8"/>
      <c r="D31" s="8"/>
      <c r="E31" s="89"/>
      <c r="F31" s="8"/>
      <c r="G31" s="8"/>
      <c r="H31" s="8"/>
      <c r="I31" s="36"/>
      <c r="J31" s="8"/>
      <c r="K31" s="8"/>
      <c r="L31" s="8"/>
      <c r="M31" s="8"/>
      <c r="N31" s="8"/>
      <c r="O31" s="8"/>
      <c r="P31" s="8"/>
      <c r="U31" s="10"/>
    </row>
    <row r="32" spans="1:25" x14ac:dyDescent="0.25">
      <c r="A32" s="19"/>
      <c r="B32" s="19"/>
      <c r="C32" s="375" t="s">
        <v>159</v>
      </c>
      <c r="D32" s="376">
        <v>44834</v>
      </c>
      <c r="E32" s="41"/>
      <c r="F32" s="8"/>
      <c r="G32" s="8"/>
      <c r="H32" s="8"/>
      <c r="I32" s="36"/>
      <c r="J32" s="8"/>
      <c r="K32" s="8"/>
      <c r="L32" s="8"/>
      <c r="M32" s="36"/>
      <c r="N32" s="8"/>
      <c r="O32" s="8"/>
      <c r="P32" s="8"/>
      <c r="U32" s="10"/>
    </row>
    <row r="33" spans="1:21" x14ac:dyDescent="0.25">
      <c r="A33" s="19"/>
      <c r="B33" s="19"/>
      <c r="C33" s="8" t="s">
        <v>161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U33" s="10"/>
    </row>
  </sheetData>
  <mergeCells count="6">
    <mergeCell ref="A1:U1"/>
    <mergeCell ref="A2:D2"/>
    <mergeCell ref="E2:H2"/>
    <mergeCell ref="I2:L2"/>
    <mergeCell ref="M2:P2"/>
    <mergeCell ref="Q2:T2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A7D42-CA06-45B5-8075-FCC5047A3745}">
  <dimension ref="A1:Y33"/>
  <sheetViews>
    <sheetView zoomScale="80" zoomScaleNormal="80" workbookViewId="0">
      <selection activeCell="M17" sqref="M17"/>
    </sheetView>
  </sheetViews>
  <sheetFormatPr defaultRowHeight="15" x14ac:dyDescent="0.25"/>
  <cols>
    <col min="1" max="1" width="1.7109375" customWidth="1"/>
    <col min="2" max="2" width="2.140625" customWidth="1"/>
    <col min="4" max="4" width="9.42578125" bestFit="1" customWidth="1"/>
    <col min="5" max="5" width="10.5703125" bestFit="1" customWidth="1"/>
    <col min="9" max="9" width="12.28515625" bestFit="1" customWidth="1"/>
    <col min="10" max="10" width="9.85546875" bestFit="1" customWidth="1"/>
    <col min="12" max="12" width="9.85546875" bestFit="1" customWidth="1"/>
    <col min="13" max="13" width="11.28515625" bestFit="1" customWidth="1"/>
    <col min="17" max="18" width="9.85546875" bestFit="1" customWidth="1"/>
    <col min="20" max="20" width="9.85546875" bestFit="1" customWidth="1"/>
    <col min="22" max="22" width="12.85546875" customWidth="1"/>
    <col min="23" max="23" width="12.28515625" customWidth="1"/>
    <col min="24" max="24" width="12.85546875" customWidth="1"/>
    <col min="25" max="25" width="12.28515625" customWidth="1"/>
  </cols>
  <sheetData>
    <row r="1" spans="1:25" ht="15.75" thickBot="1" x14ac:dyDescent="0.3">
      <c r="A1" s="395" t="s">
        <v>92</v>
      </c>
      <c r="B1" s="395"/>
      <c r="C1" s="395"/>
      <c r="D1" s="395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396"/>
      <c r="R1" s="396"/>
      <c r="S1" s="396"/>
      <c r="T1" s="396"/>
      <c r="U1" s="396"/>
      <c r="V1" s="347"/>
      <c r="W1" s="347"/>
      <c r="X1" s="347"/>
      <c r="Y1" s="347"/>
    </row>
    <row r="2" spans="1:25" ht="15.75" thickTop="1" x14ac:dyDescent="0.25">
      <c r="A2" s="400" t="s">
        <v>30</v>
      </c>
      <c r="B2" s="400"/>
      <c r="C2" s="400"/>
      <c r="D2" s="401"/>
      <c r="E2" s="402" t="s">
        <v>73</v>
      </c>
      <c r="F2" s="403"/>
      <c r="G2" s="403"/>
      <c r="H2" s="404"/>
      <c r="I2" s="402" t="s">
        <v>74</v>
      </c>
      <c r="J2" s="403"/>
      <c r="K2" s="403"/>
      <c r="L2" s="404"/>
      <c r="M2" s="402" t="s">
        <v>34</v>
      </c>
      <c r="N2" s="403"/>
      <c r="O2" s="403"/>
      <c r="P2" s="404"/>
      <c r="Q2" s="405" t="s">
        <v>35</v>
      </c>
      <c r="R2" s="406"/>
      <c r="S2" s="406"/>
      <c r="T2" s="407"/>
      <c r="U2" s="281"/>
      <c r="V2" s="348"/>
      <c r="W2" s="348"/>
      <c r="X2" s="348"/>
      <c r="Y2" s="348"/>
    </row>
    <row r="3" spans="1:25" ht="72" x14ac:dyDescent="0.25">
      <c r="A3" s="264" t="s">
        <v>46</v>
      </c>
      <c r="B3" s="264" t="s">
        <v>47</v>
      </c>
      <c r="C3" s="264" t="s">
        <v>39</v>
      </c>
      <c r="D3" s="271" t="s">
        <v>40</v>
      </c>
      <c r="E3" s="272" t="s">
        <v>75</v>
      </c>
      <c r="F3" s="267" t="s">
        <v>93</v>
      </c>
      <c r="G3" s="267" t="s">
        <v>94</v>
      </c>
      <c r="H3" s="273" t="s">
        <v>95</v>
      </c>
      <c r="I3" s="276" t="s">
        <v>75</v>
      </c>
      <c r="J3" s="268" t="s">
        <v>93</v>
      </c>
      <c r="K3" s="268" t="s">
        <v>94</v>
      </c>
      <c r="L3" s="277" t="s">
        <v>95</v>
      </c>
      <c r="M3" s="276" t="s">
        <v>75</v>
      </c>
      <c r="N3" s="268" t="s">
        <v>93</v>
      </c>
      <c r="O3" s="268" t="s">
        <v>94</v>
      </c>
      <c r="P3" s="277" t="s">
        <v>95</v>
      </c>
      <c r="Q3" s="276" t="s">
        <v>75</v>
      </c>
      <c r="R3" s="268" t="s">
        <v>93</v>
      </c>
      <c r="S3" s="268" t="s">
        <v>94</v>
      </c>
      <c r="T3" s="268" t="s">
        <v>95</v>
      </c>
      <c r="U3" s="282" t="s">
        <v>96</v>
      </c>
      <c r="V3" s="349" t="s">
        <v>143</v>
      </c>
      <c r="W3" s="350" t="s">
        <v>144</v>
      </c>
      <c r="X3" s="349" t="s">
        <v>145</v>
      </c>
      <c r="Y3" s="350" t="s">
        <v>146</v>
      </c>
    </row>
    <row r="4" spans="1:25" x14ac:dyDescent="0.25">
      <c r="A4" s="264">
        <v>1</v>
      </c>
      <c r="B4" s="264">
        <v>1</v>
      </c>
      <c r="C4" s="265">
        <v>42644</v>
      </c>
      <c r="D4" s="266">
        <v>42735</v>
      </c>
      <c r="E4" s="274">
        <v>8695.6521739130458</v>
      </c>
      <c r="F4" s="269">
        <f>SUM(0+ E4)</f>
        <v>8695.6521739130458</v>
      </c>
      <c r="G4" s="269">
        <v>0</v>
      </c>
      <c r="H4" s="275">
        <f>SUM(0+ G4)</f>
        <v>0</v>
      </c>
      <c r="I4" s="278">
        <v>93191.173913043458</v>
      </c>
      <c r="J4" s="269">
        <f>SUM(0+ I4)</f>
        <v>93191.173913043458</v>
      </c>
      <c r="K4" s="270">
        <v>0</v>
      </c>
      <c r="L4" s="275">
        <f>SUM(0+ K4)</f>
        <v>0</v>
      </c>
      <c r="M4" s="280">
        <v>2979.6521739130435</v>
      </c>
      <c r="N4" s="270">
        <f>SUM(0+ M4)</f>
        <v>2979.6521739130435</v>
      </c>
      <c r="O4" s="269"/>
      <c r="P4" s="275">
        <f>SUM(0+ O4)</f>
        <v>0</v>
      </c>
      <c r="Q4" s="278">
        <f>SUM(E4+I4+M4)</f>
        <v>104866.47826086954</v>
      </c>
      <c r="R4" s="270">
        <f>SUM(0+ Q4)</f>
        <v>104866.47826086954</v>
      </c>
      <c r="S4" s="270">
        <f>SUM(G4+K4+O4)</f>
        <v>0</v>
      </c>
      <c r="T4" s="270">
        <f>SUM(0+ S4)</f>
        <v>0</v>
      </c>
      <c r="U4" s="283">
        <f t="shared" ref="U4:U23" si="0">SUM(T4/R4)*100</f>
        <v>0</v>
      </c>
      <c r="V4" s="344">
        <v>0</v>
      </c>
      <c r="W4" s="342">
        <v>0</v>
      </c>
      <c r="X4" s="344">
        <v>0</v>
      </c>
      <c r="Y4" s="342">
        <v>0</v>
      </c>
    </row>
    <row r="5" spans="1:25" x14ac:dyDescent="0.25">
      <c r="A5" s="264">
        <v>1</v>
      </c>
      <c r="B5" s="264">
        <v>2</v>
      </c>
      <c r="C5" s="265">
        <v>42736</v>
      </c>
      <c r="D5" s="266">
        <v>42825</v>
      </c>
      <c r="E5" s="274">
        <v>8695.6521739130458</v>
      </c>
      <c r="F5" s="269">
        <f t="shared" ref="F5:F23" si="1">SUM(F4+E5)</f>
        <v>17391.304347826092</v>
      </c>
      <c r="G5" s="269">
        <v>0</v>
      </c>
      <c r="H5" s="275">
        <f t="shared" ref="H5:H23" si="2">SUM(H4+G5)</f>
        <v>0</v>
      </c>
      <c r="I5" s="278">
        <v>93191.173913043458</v>
      </c>
      <c r="J5" s="269">
        <f t="shared" ref="J5:J23" si="3">SUM(J4+I5)</f>
        <v>186382.34782608692</v>
      </c>
      <c r="K5" s="270">
        <v>0</v>
      </c>
      <c r="L5" s="279">
        <f t="shared" ref="L5:L23" si="4">SUM(L4+K5)</f>
        <v>0</v>
      </c>
      <c r="M5" s="280">
        <v>2979.6521739130435</v>
      </c>
      <c r="N5" s="270">
        <f t="shared" ref="N5:N23" si="5">SUM(N4+M5)</f>
        <v>5959.304347826087</v>
      </c>
      <c r="O5" s="270">
        <v>0</v>
      </c>
      <c r="P5" s="279">
        <f t="shared" ref="P5:P23" si="6">SUM(P4+O5)</f>
        <v>0</v>
      </c>
      <c r="Q5" s="278">
        <f t="shared" ref="Q5:Q27" si="7">SUM(E5+I5+M5)</f>
        <v>104866.47826086954</v>
      </c>
      <c r="R5" s="270">
        <f t="shared" ref="R5:R27" si="8">SUM(R4+Q5)</f>
        <v>209732.95652173908</v>
      </c>
      <c r="S5" s="270">
        <f t="shared" ref="S5:S27" si="9">SUM(G5+K5+O5)</f>
        <v>0</v>
      </c>
      <c r="T5" s="270">
        <f t="shared" ref="T5:T27" si="10">SUM(T4+S5)</f>
        <v>0</v>
      </c>
      <c r="U5" s="283">
        <f t="shared" si="0"/>
        <v>0</v>
      </c>
      <c r="V5" s="344">
        <v>0</v>
      </c>
      <c r="W5" s="342">
        <v>0</v>
      </c>
      <c r="X5" s="344">
        <v>0</v>
      </c>
      <c r="Y5" s="342">
        <v>0</v>
      </c>
    </row>
    <row r="6" spans="1:25" x14ac:dyDescent="0.25">
      <c r="A6" s="264">
        <v>1</v>
      </c>
      <c r="B6" s="264">
        <v>3</v>
      </c>
      <c r="C6" s="265">
        <v>42826</v>
      </c>
      <c r="D6" s="266">
        <v>42916</v>
      </c>
      <c r="E6" s="274">
        <v>8695.6521739130458</v>
      </c>
      <c r="F6" s="269">
        <f t="shared" si="1"/>
        <v>26086.956521739135</v>
      </c>
      <c r="G6" s="269">
        <v>0</v>
      </c>
      <c r="H6" s="275">
        <f t="shared" si="2"/>
        <v>0</v>
      </c>
      <c r="I6" s="278">
        <v>93191.173913043458</v>
      </c>
      <c r="J6" s="269">
        <f t="shared" si="3"/>
        <v>279573.52173913037</v>
      </c>
      <c r="K6" s="270">
        <v>0</v>
      </c>
      <c r="L6" s="279">
        <f t="shared" si="4"/>
        <v>0</v>
      </c>
      <c r="M6" s="280">
        <v>2979.6521739130435</v>
      </c>
      <c r="N6" s="270">
        <f t="shared" si="5"/>
        <v>8938.95652173913</v>
      </c>
      <c r="O6" s="270">
        <v>0</v>
      </c>
      <c r="P6" s="279">
        <f t="shared" si="6"/>
        <v>0</v>
      </c>
      <c r="Q6" s="278">
        <f t="shared" si="7"/>
        <v>104866.47826086954</v>
      </c>
      <c r="R6" s="270">
        <f t="shared" si="8"/>
        <v>314599.43478260865</v>
      </c>
      <c r="S6" s="270">
        <f t="shared" si="9"/>
        <v>0</v>
      </c>
      <c r="T6" s="270">
        <f t="shared" si="10"/>
        <v>0</v>
      </c>
      <c r="U6" s="283">
        <f t="shared" si="0"/>
        <v>0</v>
      </c>
      <c r="V6" s="344">
        <v>0</v>
      </c>
      <c r="W6" s="342">
        <v>0</v>
      </c>
      <c r="X6" s="344">
        <v>0</v>
      </c>
      <c r="Y6" s="342">
        <v>0</v>
      </c>
    </row>
    <row r="7" spans="1:25" x14ac:dyDescent="0.25">
      <c r="A7" s="264">
        <v>1</v>
      </c>
      <c r="B7" s="264">
        <v>4</v>
      </c>
      <c r="C7" s="265">
        <v>42917</v>
      </c>
      <c r="D7" s="266">
        <v>43008</v>
      </c>
      <c r="E7" s="274">
        <v>8695.6521739130458</v>
      </c>
      <c r="F7" s="269">
        <f t="shared" si="1"/>
        <v>34782.608695652183</v>
      </c>
      <c r="G7" s="269">
        <v>0</v>
      </c>
      <c r="H7" s="275">
        <f t="shared" si="2"/>
        <v>0</v>
      </c>
      <c r="I7" s="278">
        <v>93191.173913043458</v>
      </c>
      <c r="J7" s="269">
        <f t="shared" si="3"/>
        <v>372764.69565217383</v>
      </c>
      <c r="K7" s="270">
        <v>67896</v>
      </c>
      <c r="L7" s="279">
        <f t="shared" si="4"/>
        <v>67896</v>
      </c>
      <c r="M7" s="280">
        <v>2979.6521739130435</v>
      </c>
      <c r="N7" s="270">
        <f t="shared" si="5"/>
        <v>11918.608695652174</v>
      </c>
      <c r="O7" s="270">
        <v>11577</v>
      </c>
      <c r="P7" s="279">
        <f t="shared" si="6"/>
        <v>11577</v>
      </c>
      <c r="Q7" s="278">
        <f t="shared" si="7"/>
        <v>104866.47826086954</v>
      </c>
      <c r="R7" s="270">
        <f t="shared" si="8"/>
        <v>419465.91304347815</v>
      </c>
      <c r="S7" s="270">
        <f t="shared" si="9"/>
        <v>79473</v>
      </c>
      <c r="T7" s="270">
        <f t="shared" si="10"/>
        <v>79473</v>
      </c>
      <c r="U7" s="283">
        <f t="shared" si="0"/>
        <v>18.946235564977247</v>
      </c>
      <c r="V7" s="351">
        <v>2.95</v>
      </c>
      <c r="W7" s="342">
        <v>0</v>
      </c>
      <c r="X7" s="344">
        <v>0</v>
      </c>
      <c r="Y7" s="342">
        <v>0</v>
      </c>
    </row>
    <row r="8" spans="1:25" x14ac:dyDescent="0.25">
      <c r="A8" s="264">
        <v>2</v>
      </c>
      <c r="B8" s="264">
        <v>1</v>
      </c>
      <c r="C8" s="265">
        <v>43009</v>
      </c>
      <c r="D8" s="266">
        <v>43100</v>
      </c>
      <c r="E8" s="274">
        <v>8695.6521739130458</v>
      </c>
      <c r="F8" s="269">
        <f t="shared" si="1"/>
        <v>43478.260869565231</v>
      </c>
      <c r="G8" s="269">
        <v>0</v>
      </c>
      <c r="H8" s="275">
        <f t="shared" si="2"/>
        <v>0</v>
      </c>
      <c r="I8" s="278">
        <v>93191.173913043458</v>
      </c>
      <c r="J8" s="269">
        <f t="shared" si="3"/>
        <v>465955.86956521729</v>
      </c>
      <c r="K8" s="270">
        <v>29893</v>
      </c>
      <c r="L8" s="279">
        <f t="shared" si="4"/>
        <v>97789</v>
      </c>
      <c r="M8" s="280">
        <v>2979.6521739130435</v>
      </c>
      <c r="N8" s="270">
        <f t="shared" si="5"/>
        <v>14898.260869565218</v>
      </c>
      <c r="O8" s="270">
        <v>2084</v>
      </c>
      <c r="P8" s="279">
        <f t="shared" si="6"/>
        <v>13661</v>
      </c>
      <c r="Q8" s="278">
        <f t="shared" si="7"/>
        <v>104866.47826086954</v>
      </c>
      <c r="R8" s="270">
        <f t="shared" si="8"/>
        <v>524332.39130434766</v>
      </c>
      <c r="S8" s="270">
        <f t="shared" si="9"/>
        <v>31977</v>
      </c>
      <c r="T8" s="270">
        <f t="shared" si="10"/>
        <v>111450</v>
      </c>
      <c r="U8" s="283">
        <f t="shared" si="0"/>
        <v>21.255600807486463</v>
      </c>
      <c r="V8" s="351">
        <v>2.95</v>
      </c>
      <c r="W8" s="342">
        <v>0</v>
      </c>
      <c r="X8" s="344">
        <v>0</v>
      </c>
      <c r="Y8" s="342">
        <v>0</v>
      </c>
    </row>
    <row r="9" spans="1:25" x14ac:dyDescent="0.25">
      <c r="A9" s="264">
        <v>2</v>
      </c>
      <c r="B9" s="264">
        <v>2</v>
      </c>
      <c r="C9" s="265">
        <v>43101</v>
      </c>
      <c r="D9" s="266">
        <v>43190</v>
      </c>
      <c r="E9" s="274">
        <v>8695.6521739130458</v>
      </c>
      <c r="F9" s="269">
        <f t="shared" si="1"/>
        <v>52173.913043478278</v>
      </c>
      <c r="G9" s="269">
        <v>0</v>
      </c>
      <c r="H9" s="275">
        <f t="shared" si="2"/>
        <v>0</v>
      </c>
      <c r="I9" s="278">
        <v>93191.173913043458</v>
      </c>
      <c r="J9" s="269">
        <f t="shared" si="3"/>
        <v>559147.04347826075</v>
      </c>
      <c r="K9" s="270">
        <v>34698</v>
      </c>
      <c r="L9" s="279">
        <f t="shared" si="4"/>
        <v>132487</v>
      </c>
      <c r="M9" s="280">
        <v>2979.6521739130435</v>
      </c>
      <c r="N9" s="270">
        <f t="shared" si="5"/>
        <v>17877.91304347826</v>
      </c>
      <c r="O9" s="270">
        <v>1964</v>
      </c>
      <c r="P9" s="279">
        <f t="shared" si="6"/>
        <v>15625</v>
      </c>
      <c r="Q9" s="278">
        <f t="shared" si="7"/>
        <v>104866.47826086954</v>
      </c>
      <c r="R9" s="270">
        <f t="shared" si="8"/>
        <v>629198.86956521717</v>
      </c>
      <c r="S9" s="270">
        <f t="shared" si="9"/>
        <v>36662</v>
      </c>
      <c r="T9" s="270">
        <f>SUM(T8+S9)</f>
        <v>148112</v>
      </c>
      <c r="U9" s="283">
        <f t="shared" si="0"/>
        <v>23.539775286364851</v>
      </c>
      <c r="V9" s="351">
        <v>2.95</v>
      </c>
      <c r="W9" s="342">
        <v>0</v>
      </c>
      <c r="X9" s="344">
        <v>0</v>
      </c>
      <c r="Y9" s="342">
        <v>0</v>
      </c>
    </row>
    <row r="10" spans="1:25" x14ac:dyDescent="0.25">
      <c r="A10" s="264">
        <v>2</v>
      </c>
      <c r="B10" s="264">
        <v>3</v>
      </c>
      <c r="C10" s="265">
        <v>43191</v>
      </c>
      <c r="D10" s="266">
        <v>43281</v>
      </c>
      <c r="E10" s="274">
        <v>8695.6521739130458</v>
      </c>
      <c r="F10" s="269">
        <f t="shared" si="1"/>
        <v>60869.565217391326</v>
      </c>
      <c r="G10" s="269">
        <v>0</v>
      </c>
      <c r="H10" s="275">
        <f t="shared" si="2"/>
        <v>0</v>
      </c>
      <c r="I10" s="278">
        <v>93191.173913043458</v>
      </c>
      <c r="J10" s="269">
        <f t="shared" si="3"/>
        <v>652338.21739130421</v>
      </c>
      <c r="K10" s="270">
        <v>46398</v>
      </c>
      <c r="L10" s="279">
        <f t="shared" si="4"/>
        <v>178885</v>
      </c>
      <c r="M10" s="280">
        <v>2979.6521739130435</v>
      </c>
      <c r="N10" s="270">
        <f t="shared" si="5"/>
        <v>20857.565217391304</v>
      </c>
      <c r="O10" s="270">
        <v>0</v>
      </c>
      <c r="P10" s="279">
        <f t="shared" si="6"/>
        <v>15625</v>
      </c>
      <c r="Q10" s="278">
        <f t="shared" si="7"/>
        <v>104866.47826086954</v>
      </c>
      <c r="R10" s="270">
        <f t="shared" si="8"/>
        <v>734065.34782608668</v>
      </c>
      <c r="S10" s="270">
        <f t="shared" si="9"/>
        <v>46398</v>
      </c>
      <c r="T10" s="270">
        <f t="shared" si="10"/>
        <v>194510</v>
      </c>
      <c r="U10" s="283">
        <f t="shared" si="0"/>
        <v>26.497640922029049</v>
      </c>
      <c r="V10" s="351">
        <v>2.95</v>
      </c>
      <c r="W10" s="342">
        <v>0</v>
      </c>
      <c r="X10" s="344">
        <v>0</v>
      </c>
      <c r="Y10" s="342">
        <v>0</v>
      </c>
    </row>
    <row r="11" spans="1:25" x14ac:dyDescent="0.25">
      <c r="A11" s="264">
        <v>2</v>
      </c>
      <c r="B11" s="264">
        <v>4</v>
      </c>
      <c r="C11" s="265">
        <v>43282</v>
      </c>
      <c r="D11" s="266">
        <v>43373</v>
      </c>
      <c r="E11" s="274">
        <v>8695.6521739130458</v>
      </c>
      <c r="F11" s="269">
        <f t="shared" si="1"/>
        <v>69565.217391304366</v>
      </c>
      <c r="G11" s="269">
        <v>0</v>
      </c>
      <c r="H11" s="275">
        <f t="shared" si="2"/>
        <v>0</v>
      </c>
      <c r="I11" s="278">
        <v>93191.173913043458</v>
      </c>
      <c r="J11" s="269">
        <f t="shared" si="3"/>
        <v>745529.39130434766</v>
      </c>
      <c r="K11" s="270">
        <v>10196</v>
      </c>
      <c r="L11" s="279">
        <f t="shared" si="4"/>
        <v>189081</v>
      </c>
      <c r="M11" s="280">
        <v>2979.6521739130435</v>
      </c>
      <c r="N11" s="270">
        <f t="shared" si="5"/>
        <v>23837.217391304348</v>
      </c>
      <c r="O11" s="270">
        <v>0</v>
      </c>
      <c r="P11" s="279">
        <f t="shared" si="6"/>
        <v>15625</v>
      </c>
      <c r="Q11" s="278">
        <f t="shared" si="7"/>
        <v>104866.47826086954</v>
      </c>
      <c r="R11" s="270">
        <f t="shared" si="8"/>
        <v>838931.82608695619</v>
      </c>
      <c r="S11" s="270">
        <f t="shared" si="9"/>
        <v>10196</v>
      </c>
      <c r="T11" s="270">
        <f t="shared" si="10"/>
        <v>204706</v>
      </c>
      <c r="U11" s="283">
        <f t="shared" si="0"/>
        <v>24.400790819298589</v>
      </c>
      <c r="V11" s="351">
        <v>2.95</v>
      </c>
      <c r="W11" s="342">
        <v>0</v>
      </c>
      <c r="X11" s="344">
        <v>0</v>
      </c>
      <c r="Y11" s="342">
        <v>0</v>
      </c>
    </row>
    <row r="12" spans="1:25" x14ac:dyDescent="0.25">
      <c r="A12" s="264">
        <v>3</v>
      </c>
      <c r="B12" s="264">
        <v>1</v>
      </c>
      <c r="C12" s="265">
        <v>43374</v>
      </c>
      <c r="D12" s="266">
        <v>43465</v>
      </c>
      <c r="E12" s="274">
        <v>8695.6521739130458</v>
      </c>
      <c r="F12" s="269">
        <f t="shared" si="1"/>
        <v>78260.869565217406</v>
      </c>
      <c r="G12" s="269">
        <v>0</v>
      </c>
      <c r="H12" s="275">
        <f t="shared" si="2"/>
        <v>0</v>
      </c>
      <c r="I12" s="278">
        <v>93191.173913043458</v>
      </c>
      <c r="J12" s="269">
        <f t="shared" si="3"/>
        <v>838720.56521739112</v>
      </c>
      <c r="K12" s="270">
        <v>24468</v>
      </c>
      <c r="L12" s="279">
        <f t="shared" si="4"/>
        <v>213549</v>
      </c>
      <c r="M12" s="280">
        <v>2979.6521739130435</v>
      </c>
      <c r="N12" s="270">
        <f t="shared" si="5"/>
        <v>26816.869565217392</v>
      </c>
      <c r="O12" s="270">
        <v>7649</v>
      </c>
      <c r="P12" s="279">
        <f t="shared" si="6"/>
        <v>23274</v>
      </c>
      <c r="Q12" s="278">
        <f t="shared" si="7"/>
        <v>104866.47826086954</v>
      </c>
      <c r="R12" s="270">
        <f t="shared" si="8"/>
        <v>943798.3043478257</v>
      </c>
      <c r="S12" s="270">
        <f t="shared" si="9"/>
        <v>32117</v>
      </c>
      <c r="T12" s="270">
        <f t="shared" si="10"/>
        <v>236823</v>
      </c>
      <c r="U12" s="283">
        <f t="shared" si="0"/>
        <v>25.092543492504692</v>
      </c>
      <c r="V12" s="351">
        <v>2.95</v>
      </c>
      <c r="W12" s="342">
        <v>0</v>
      </c>
      <c r="X12" s="344">
        <v>0</v>
      </c>
      <c r="Y12" s="342">
        <v>0</v>
      </c>
    </row>
    <row r="13" spans="1:25" x14ac:dyDescent="0.25">
      <c r="A13" s="264">
        <v>3</v>
      </c>
      <c r="B13" s="264">
        <v>2</v>
      </c>
      <c r="C13" s="265">
        <v>43466</v>
      </c>
      <c r="D13" s="266">
        <v>43555</v>
      </c>
      <c r="E13" s="274">
        <v>8695.6521739130458</v>
      </c>
      <c r="F13" s="269">
        <f t="shared" si="1"/>
        <v>86956.521739130447</v>
      </c>
      <c r="G13" s="269">
        <v>14169</v>
      </c>
      <c r="H13" s="275">
        <f t="shared" si="2"/>
        <v>14169</v>
      </c>
      <c r="I13" s="278">
        <v>93191.173913043458</v>
      </c>
      <c r="J13" s="269">
        <f t="shared" si="3"/>
        <v>931911.73913043458</v>
      </c>
      <c r="K13" s="270">
        <v>62843</v>
      </c>
      <c r="L13" s="279">
        <f t="shared" si="4"/>
        <v>276392</v>
      </c>
      <c r="M13" s="280">
        <v>2979.6521739130435</v>
      </c>
      <c r="N13" s="270">
        <f t="shared" si="5"/>
        <v>29796.521739130436</v>
      </c>
      <c r="O13" s="270">
        <v>0</v>
      </c>
      <c r="P13" s="279">
        <f t="shared" si="6"/>
        <v>23274</v>
      </c>
      <c r="Q13" s="278">
        <f t="shared" si="7"/>
        <v>104866.47826086954</v>
      </c>
      <c r="R13" s="270">
        <f t="shared" si="8"/>
        <v>1048664.7826086953</v>
      </c>
      <c r="S13" s="270">
        <f t="shared" si="9"/>
        <v>77012</v>
      </c>
      <c r="T13" s="270">
        <f t="shared" si="10"/>
        <v>313835</v>
      </c>
      <c r="U13" s="283">
        <f t="shared" si="0"/>
        <v>29.927103990208675</v>
      </c>
      <c r="V13" s="351">
        <v>2.95</v>
      </c>
      <c r="W13" s="342">
        <v>0</v>
      </c>
      <c r="X13" s="344">
        <v>0</v>
      </c>
      <c r="Y13" s="342">
        <v>0</v>
      </c>
    </row>
    <row r="14" spans="1:25" x14ac:dyDescent="0.25">
      <c r="A14" s="264">
        <v>3</v>
      </c>
      <c r="B14" s="264">
        <v>3</v>
      </c>
      <c r="C14" s="265">
        <v>43556</v>
      </c>
      <c r="D14" s="266">
        <v>43646</v>
      </c>
      <c r="E14" s="274">
        <v>8695.6521739130458</v>
      </c>
      <c r="F14" s="269">
        <f t="shared" si="1"/>
        <v>95652.173913043487</v>
      </c>
      <c r="G14" s="269">
        <v>12745</v>
      </c>
      <c r="H14" s="275">
        <f t="shared" si="2"/>
        <v>26914</v>
      </c>
      <c r="I14" s="278">
        <v>93191.173913043458</v>
      </c>
      <c r="J14" s="269">
        <f t="shared" si="3"/>
        <v>1025102.913043478</v>
      </c>
      <c r="K14" s="270">
        <v>37306</v>
      </c>
      <c r="L14" s="279">
        <f t="shared" si="4"/>
        <v>313698</v>
      </c>
      <c r="M14" s="280">
        <v>2979.6521739130435</v>
      </c>
      <c r="N14" s="270">
        <f t="shared" si="5"/>
        <v>32776.17391304348</v>
      </c>
      <c r="O14" s="270">
        <v>5033</v>
      </c>
      <c r="P14" s="279">
        <f t="shared" si="6"/>
        <v>28307</v>
      </c>
      <c r="Q14" s="278">
        <f t="shared" si="7"/>
        <v>104866.47826086954</v>
      </c>
      <c r="R14" s="270">
        <f t="shared" si="8"/>
        <v>1153531.260869565</v>
      </c>
      <c r="S14" s="270">
        <f t="shared" si="9"/>
        <v>55084</v>
      </c>
      <c r="T14" s="270">
        <f t="shared" si="10"/>
        <v>368919</v>
      </c>
      <c r="U14" s="283">
        <f t="shared" si="0"/>
        <v>31.981708039875596</v>
      </c>
      <c r="V14" s="351">
        <v>2.95</v>
      </c>
      <c r="W14" s="342">
        <v>0</v>
      </c>
      <c r="X14" s="344">
        <v>0</v>
      </c>
      <c r="Y14" s="342">
        <v>0</v>
      </c>
    </row>
    <row r="15" spans="1:25" x14ac:dyDescent="0.25">
      <c r="A15" s="264">
        <v>3</v>
      </c>
      <c r="B15" s="264">
        <v>4</v>
      </c>
      <c r="C15" s="265">
        <v>43653</v>
      </c>
      <c r="D15" s="266">
        <v>43738</v>
      </c>
      <c r="E15" s="274">
        <v>8695.6521739130458</v>
      </c>
      <c r="F15" s="269">
        <f t="shared" si="1"/>
        <v>104347.82608695653</v>
      </c>
      <c r="G15" s="269">
        <v>98648</v>
      </c>
      <c r="H15" s="275">
        <f t="shared" si="2"/>
        <v>125562</v>
      </c>
      <c r="I15" s="278">
        <v>93191.173913043458</v>
      </c>
      <c r="J15" s="269">
        <f t="shared" si="3"/>
        <v>1118294.0869565215</v>
      </c>
      <c r="K15" s="270">
        <v>115313</v>
      </c>
      <c r="L15" s="279">
        <f t="shared" si="4"/>
        <v>429011</v>
      </c>
      <c r="M15" s="280">
        <v>2979.6521739130435</v>
      </c>
      <c r="N15" s="270">
        <f t="shared" si="5"/>
        <v>35755.82608695652</v>
      </c>
      <c r="O15" s="270">
        <v>4131</v>
      </c>
      <c r="P15" s="279">
        <f t="shared" si="6"/>
        <v>32438</v>
      </c>
      <c r="Q15" s="278">
        <f t="shared" si="7"/>
        <v>104866.47826086954</v>
      </c>
      <c r="R15" s="270">
        <f t="shared" si="8"/>
        <v>1258397.7391304346</v>
      </c>
      <c r="S15" s="270">
        <f t="shared" si="9"/>
        <v>218092</v>
      </c>
      <c r="T15" s="270">
        <f>SUM(T14+S15)</f>
        <v>587011</v>
      </c>
      <c r="U15" s="283">
        <f t="shared" si="0"/>
        <v>46.647493216701932</v>
      </c>
      <c r="V15" s="351">
        <v>2.95</v>
      </c>
      <c r="W15" s="342">
        <v>0</v>
      </c>
      <c r="X15" s="344">
        <v>0</v>
      </c>
      <c r="Y15" s="342">
        <v>0</v>
      </c>
    </row>
    <row r="16" spans="1:25" x14ac:dyDescent="0.25">
      <c r="A16" s="264">
        <v>4</v>
      </c>
      <c r="B16" s="264">
        <v>1</v>
      </c>
      <c r="C16" s="265">
        <v>43739</v>
      </c>
      <c r="D16" s="266">
        <v>43830</v>
      </c>
      <c r="E16" s="274">
        <v>8695.6521739130458</v>
      </c>
      <c r="F16" s="269">
        <f t="shared" si="1"/>
        <v>113043.47826086957</v>
      </c>
      <c r="G16" s="269">
        <v>51017</v>
      </c>
      <c r="H16" s="275">
        <f t="shared" si="2"/>
        <v>176579</v>
      </c>
      <c r="I16" s="278">
        <v>93191.173913043458</v>
      </c>
      <c r="J16" s="269">
        <f t="shared" si="3"/>
        <v>1211485.260869565</v>
      </c>
      <c r="K16" s="270">
        <v>61273</v>
      </c>
      <c r="L16" s="279">
        <f t="shared" si="4"/>
        <v>490284</v>
      </c>
      <c r="M16" s="280">
        <v>2979.6521739130435</v>
      </c>
      <c r="N16" s="270">
        <f t="shared" si="5"/>
        <v>38735.47826086956</v>
      </c>
      <c r="O16" s="270">
        <v>0</v>
      </c>
      <c r="P16" s="279">
        <f t="shared" si="6"/>
        <v>32438</v>
      </c>
      <c r="Q16" s="278">
        <f t="shared" si="7"/>
        <v>104866.47826086954</v>
      </c>
      <c r="R16" s="270">
        <f t="shared" si="8"/>
        <v>1363264.2173913042</v>
      </c>
      <c r="S16" s="270">
        <f t="shared" si="9"/>
        <v>112290</v>
      </c>
      <c r="T16" s="270">
        <f>SUM(T15+S16)</f>
        <v>699301</v>
      </c>
      <c r="U16" s="283">
        <f t="shared" si="0"/>
        <v>51.296072403202842</v>
      </c>
      <c r="V16" s="351">
        <v>2.95</v>
      </c>
      <c r="W16" s="342">
        <v>0</v>
      </c>
      <c r="X16" s="344">
        <v>0</v>
      </c>
      <c r="Y16" s="342">
        <v>0</v>
      </c>
    </row>
    <row r="17" spans="1:25" x14ac:dyDescent="0.25">
      <c r="A17" s="264">
        <v>4</v>
      </c>
      <c r="B17" s="264">
        <v>2</v>
      </c>
      <c r="C17" s="265">
        <v>43831</v>
      </c>
      <c r="D17" s="266">
        <v>43921</v>
      </c>
      <c r="E17" s="274">
        <v>8695.6521739130458</v>
      </c>
      <c r="F17" s="269">
        <f t="shared" si="1"/>
        <v>121739.13043478261</v>
      </c>
      <c r="G17" s="269">
        <v>22158</v>
      </c>
      <c r="H17" s="275">
        <f t="shared" si="2"/>
        <v>198737</v>
      </c>
      <c r="I17" s="278">
        <v>93191.173913043458</v>
      </c>
      <c r="J17" s="269">
        <f t="shared" si="3"/>
        <v>1304676.4347826084</v>
      </c>
      <c r="K17" s="270">
        <v>182118</v>
      </c>
      <c r="L17" s="279">
        <f t="shared" si="4"/>
        <v>672402</v>
      </c>
      <c r="M17" s="280">
        <v>2979.6521739130435</v>
      </c>
      <c r="N17" s="270">
        <f t="shared" si="5"/>
        <v>41715.130434782601</v>
      </c>
      <c r="O17" s="270">
        <v>14759</v>
      </c>
      <c r="P17" s="279">
        <f t="shared" si="6"/>
        <v>47197</v>
      </c>
      <c r="Q17" s="278">
        <f t="shared" si="7"/>
        <v>104866.47826086954</v>
      </c>
      <c r="R17" s="270">
        <f t="shared" si="8"/>
        <v>1468130.6956521738</v>
      </c>
      <c r="S17" s="270">
        <f t="shared" si="9"/>
        <v>219035</v>
      </c>
      <c r="T17" s="270">
        <f t="shared" si="10"/>
        <v>918336</v>
      </c>
      <c r="U17" s="283">
        <f t="shared" si="0"/>
        <v>62.551379296109346</v>
      </c>
      <c r="V17" s="351">
        <v>2.95</v>
      </c>
      <c r="W17" s="342">
        <v>0</v>
      </c>
      <c r="X17" s="344">
        <v>0</v>
      </c>
      <c r="Y17" s="342">
        <v>0</v>
      </c>
    </row>
    <row r="18" spans="1:25" x14ac:dyDescent="0.25">
      <c r="A18" s="264">
        <v>4</v>
      </c>
      <c r="B18" s="264">
        <v>3</v>
      </c>
      <c r="C18" s="265">
        <v>43922</v>
      </c>
      <c r="D18" s="266">
        <v>44012</v>
      </c>
      <c r="E18" s="274">
        <v>8695.6521739130458</v>
      </c>
      <c r="F18" s="269">
        <f t="shared" si="1"/>
        <v>130434.78260869565</v>
      </c>
      <c r="G18" s="269">
        <v>0</v>
      </c>
      <c r="H18" s="275">
        <f t="shared" si="2"/>
        <v>198737</v>
      </c>
      <c r="I18" s="278">
        <v>93191.173913043458</v>
      </c>
      <c r="J18" s="269">
        <f t="shared" si="3"/>
        <v>1397867.6086956519</v>
      </c>
      <c r="K18" s="270">
        <v>91027</v>
      </c>
      <c r="L18" s="279">
        <f t="shared" si="4"/>
        <v>763429</v>
      </c>
      <c r="M18" s="280">
        <v>2979.6521739130435</v>
      </c>
      <c r="N18" s="270">
        <f t="shared" si="5"/>
        <v>44694.782608695641</v>
      </c>
      <c r="O18" s="270">
        <v>8025</v>
      </c>
      <c r="P18" s="279">
        <f t="shared" si="6"/>
        <v>55222</v>
      </c>
      <c r="Q18" s="278">
        <f t="shared" si="7"/>
        <v>104866.47826086954</v>
      </c>
      <c r="R18" s="270">
        <f t="shared" si="8"/>
        <v>1572997.1739130435</v>
      </c>
      <c r="S18" s="270">
        <f t="shared" si="9"/>
        <v>99052</v>
      </c>
      <c r="T18" s="270">
        <f t="shared" si="10"/>
        <v>1017388</v>
      </c>
      <c r="U18" s="283">
        <f t="shared" si="0"/>
        <v>64.678310735238611</v>
      </c>
      <c r="V18" s="351">
        <v>2.95</v>
      </c>
      <c r="W18" s="342">
        <v>0</v>
      </c>
      <c r="X18" s="344">
        <v>1</v>
      </c>
      <c r="Y18" s="342">
        <v>0</v>
      </c>
    </row>
    <row r="19" spans="1:25" x14ac:dyDescent="0.25">
      <c r="A19" s="264">
        <v>4</v>
      </c>
      <c r="B19" s="264">
        <v>4</v>
      </c>
      <c r="C19" s="265">
        <v>44013</v>
      </c>
      <c r="D19" s="266">
        <v>44104</v>
      </c>
      <c r="E19" s="274">
        <v>8695.6521739130458</v>
      </c>
      <c r="F19" s="269">
        <f t="shared" si="1"/>
        <v>139130.4347826087</v>
      </c>
      <c r="G19" s="269">
        <v>0</v>
      </c>
      <c r="H19" s="275">
        <f t="shared" si="2"/>
        <v>198737</v>
      </c>
      <c r="I19" s="278">
        <v>93191.173913043458</v>
      </c>
      <c r="J19" s="269">
        <f t="shared" si="3"/>
        <v>1491058.7826086953</v>
      </c>
      <c r="K19" s="270">
        <v>84499</v>
      </c>
      <c r="L19" s="279">
        <f t="shared" si="4"/>
        <v>847928</v>
      </c>
      <c r="M19" s="280">
        <v>2979.6521739130435</v>
      </c>
      <c r="N19" s="270">
        <f t="shared" si="5"/>
        <v>47674.434782608681</v>
      </c>
      <c r="O19" s="270">
        <v>0</v>
      </c>
      <c r="P19" s="279">
        <f t="shared" si="6"/>
        <v>55222</v>
      </c>
      <c r="Q19" s="278">
        <f t="shared" si="7"/>
        <v>104866.47826086954</v>
      </c>
      <c r="R19" s="270">
        <f t="shared" si="8"/>
        <v>1677863.6521739131</v>
      </c>
      <c r="S19" s="270">
        <f t="shared" si="9"/>
        <v>84499</v>
      </c>
      <c r="T19" s="270">
        <f t="shared" si="10"/>
        <v>1101887</v>
      </c>
      <c r="U19" s="283">
        <f t="shared" si="0"/>
        <v>65.672022787569617</v>
      </c>
      <c r="V19" s="351">
        <v>2.95</v>
      </c>
      <c r="W19" s="342">
        <v>0</v>
      </c>
      <c r="X19" s="344">
        <v>0</v>
      </c>
      <c r="Y19" s="342">
        <v>0</v>
      </c>
    </row>
    <row r="20" spans="1:25" x14ac:dyDescent="0.25">
      <c r="A20" s="264">
        <v>5</v>
      </c>
      <c r="B20" s="264">
        <v>1</v>
      </c>
      <c r="C20" s="265">
        <v>44105</v>
      </c>
      <c r="D20" s="266">
        <v>44196</v>
      </c>
      <c r="E20" s="274">
        <v>8695.6521739130458</v>
      </c>
      <c r="F20" s="269">
        <f t="shared" si="1"/>
        <v>147826.08695652176</v>
      </c>
      <c r="G20" s="269">
        <v>1263</v>
      </c>
      <c r="H20" s="275">
        <f t="shared" si="2"/>
        <v>200000</v>
      </c>
      <c r="I20" s="278">
        <v>93191.173913043458</v>
      </c>
      <c r="J20" s="269">
        <f t="shared" si="3"/>
        <v>1584249.9565217388</v>
      </c>
      <c r="K20" s="270">
        <v>36471</v>
      </c>
      <c r="L20" s="279">
        <f t="shared" si="4"/>
        <v>884399</v>
      </c>
      <c r="M20" s="280">
        <v>2979.6521739130435</v>
      </c>
      <c r="N20" s="270">
        <f t="shared" si="5"/>
        <v>50654.086956521722</v>
      </c>
      <c r="O20" s="270">
        <v>0</v>
      </c>
      <c r="P20" s="279">
        <f t="shared" si="6"/>
        <v>55222</v>
      </c>
      <c r="Q20" s="278">
        <f t="shared" si="7"/>
        <v>104866.47826086954</v>
      </c>
      <c r="R20" s="270">
        <f t="shared" si="8"/>
        <v>1782730.1304347827</v>
      </c>
      <c r="S20" s="270">
        <f t="shared" si="9"/>
        <v>37734</v>
      </c>
      <c r="T20" s="270">
        <f t="shared" si="10"/>
        <v>1139621</v>
      </c>
      <c r="U20" s="283">
        <f t="shared" si="0"/>
        <v>63.925603799721642</v>
      </c>
      <c r="V20" s="351">
        <v>2.95</v>
      </c>
      <c r="W20" s="342">
        <v>0</v>
      </c>
      <c r="X20" s="344">
        <v>0</v>
      </c>
      <c r="Y20" s="342">
        <v>1</v>
      </c>
    </row>
    <row r="21" spans="1:25" x14ac:dyDescent="0.25">
      <c r="A21" s="264">
        <v>5</v>
      </c>
      <c r="B21" s="264">
        <v>2</v>
      </c>
      <c r="C21" s="265">
        <v>44197</v>
      </c>
      <c r="D21" s="266">
        <v>44286</v>
      </c>
      <c r="E21" s="274">
        <v>8695.6521739130458</v>
      </c>
      <c r="F21" s="269">
        <f t="shared" si="1"/>
        <v>156521.73913043481</v>
      </c>
      <c r="G21" s="269">
        <v>0</v>
      </c>
      <c r="H21" s="275">
        <f t="shared" si="2"/>
        <v>200000</v>
      </c>
      <c r="I21" s="278">
        <v>93191.173913043458</v>
      </c>
      <c r="J21" s="269">
        <f t="shared" si="3"/>
        <v>1677441.1304347822</v>
      </c>
      <c r="K21" s="270">
        <v>55116</v>
      </c>
      <c r="L21" s="279">
        <f t="shared" si="4"/>
        <v>939515</v>
      </c>
      <c r="M21" s="280">
        <v>2979.6521739130435</v>
      </c>
      <c r="N21" s="270">
        <f t="shared" si="5"/>
        <v>53633.739130434762</v>
      </c>
      <c r="O21" s="270">
        <v>13310</v>
      </c>
      <c r="P21" s="279">
        <f t="shared" si="6"/>
        <v>68532</v>
      </c>
      <c r="Q21" s="278">
        <f t="shared" si="7"/>
        <v>104866.47826086954</v>
      </c>
      <c r="R21" s="270">
        <f t="shared" si="8"/>
        <v>1887596.6086956523</v>
      </c>
      <c r="S21" s="270">
        <f t="shared" si="9"/>
        <v>68426</v>
      </c>
      <c r="T21" s="270">
        <f t="shared" si="10"/>
        <v>1208047</v>
      </c>
      <c r="U21" s="283">
        <f t="shared" si="0"/>
        <v>63.999214367881926</v>
      </c>
      <c r="V21" s="351">
        <v>2.95</v>
      </c>
      <c r="W21" s="342">
        <v>0</v>
      </c>
      <c r="X21" s="344">
        <v>0</v>
      </c>
      <c r="Y21" s="342">
        <v>0</v>
      </c>
    </row>
    <row r="22" spans="1:25" x14ac:dyDescent="0.25">
      <c r="A22" s="264">
        <v>5</v>
      </c>
      <c r="B22" s="264">
        <v>3</v>
      </c>
      <c r="C22" s="265">
        <v>44287</v>
      </c>
      <c r="D22" s="266">
        <v>44377</v>
      </c>
      <c r="E22" s="274">
        <v>8695.6521739130458</v>
      </c>
      <c r="F22" s="269">
        <f t="shared" si="1"/>
        <v>165217.39130434787</v>
      </c>
      <c r="G22" s="269">
        <v>0</v>
      </c>
      <c r="H22" s="275">
        <f t="shared" si="2"/>
        <v>200000</v>
      </c>
      <c r="I22" s="278">
        <v>93191.173913043458</v>
      </c>
      <c r="J22" s="269">
        <f t="shared" si="3"/>
        <v>1770632.3043478257</v>
      </c>
      <c r="K22" s="270">
        <v>42541</v>
      </c>
      <c r="L22" s="279">
        <f t="shared" si="4"/>
        <v>982056</v>
      </c>
      <c r="M22" s="280">
        <v>2979.6521739130435</v>
      </c>
      <c r="N22" s="270">
        <f t="shared" si="5"/>
        <v>56613.391304347802</v>
      </c>
      <c r="O22" s="270">
        <v>0</v>
      </c>
      <c r="P22" s="279">
        <f t="shared" si="6"/>
        <v>68532</v>
      </c>
      <c r="Q22" s="278">
        <f t="shared" si="7"/>
        <v>104866.47826086954</v>
      </c>
      <c r="R22" s="270">
        <f t="shared" si="8"/>
        <v>1992463.086956522</v>
      </c>
      <c r="S22" s="270">
        <f t="shared" si="9"/>
        <v>42541</v>
      </c>
      <c r="T22" s="270">
        <f t="shared" si="10"/>
        <v>1250588</v>
      </c>
      <c r="U22" s="283">
        <f t="shared" si="0"/>
        <v>62.765930680817142</v>
      </c>
      <c r="V22" s="351">
        <v>2.95</v>
      </c>
      <c r="W22" s="342">
        <v>0</v>
      </c>
      <c r="X22" s="344">
        <v>0</v>
      </c>
      <c r="Y22" s="342">
        <v>0</v>
      </c>
    </row>
    <row r="23" spans="1:25" x14ac:dyDescent="0.25">
      <c r="A23" s="264">
        <v>5</v>
      </c>
      <c r="B23" s="264">
        <v>4</v>
      </c>
      <c r="C23" s="265">
        <v>44378</v>
      </c>
      <c r="D23" s="266">
        <v>44469</v>
      </c>
      <c r="E23" s="274">
        <v>8695.6521739130458</v>
      </c>
      <c r="F23" s="269">
        <f t="shared" si="1"/>
        <v>173913.04347826092</v>
      </c>
      <c r="G23" s="269">
        <v>0</v>
      </c>
      <c r="H23" s="275">
        <f t="shared" si="2"/>
        <v>200000</v>
      </c>
      <c r="I23" s="278">
        <v>93191.173913043458</v>
      </c>
      <c r="J23" s="269">
        <f t="shared" si="3"/>
        <v>1863823.4782608692</v>
      </c>
      <c r="K23" s="270">
        <v>9716</v>
      </c>
      <c r="L23" s="279">
        <f t="shared" si="4"/>
        <v>991772</v>
      </c>
      <c r="M23" s="280">
        <v>2979.6521739130435</v>
      </c>
      <c r="N23" s="270">
        <f t="shared" si="5"/>
        <v>59593.043478260843</v>
      </c>
      <c r="O23" s="270">
        <v>0</v>
      </c>
      <c r="P23" s="279">
        <f t="shared" si="6"/>
        <v>68532</v>
      </c>
      <c r="Q23" s="278">
        <f t="shared" si="7"/>
        <v>104866.47826086954</v>
      </c>
      <c r="R23" s="270">
        <f t="shared" si="8"/>
        <v>2097329.5652173916</v>
      </c>
      <c r="S23" s="270">
        <f t="shared" si="9"/>
        <v>9716</v>
      </c>
      <c r="T23" s="270">
        <f t="shared" si="10"/>
        <v>1260304</v>
      </c>
      <c r="U23" s="283">
        <f t="shared" si="0"/>
        <v>60.09088990596323</v>
      </c>
      <c r="V23" s="351">
        <v>2.95</v>
      </c>
      <c r="W23" s="342">
        <v>0</v>
      </c>
      <c r="X23" s="344">
        <v>0</v>
      </c>
      <c r="Y23" s="342">
        <v>0</v>
      </c>
    </row>
    <row r="24" spans="1:25" x14ac:dyDescent="0.25">
      <c r="A24" s="264">
        <v>6</v>
      </c>
      <c r="B24" s="264">
        <v>1</v>
      </c>
      <c r="C24" s="265">
        <v>44470</v>
      </c>
      <c r="D24" s="266">
        <v>44561</v>
      </c>
      <c r="E24" s="274">
        <v>8695.6521739130458</v>
      </c>
      <c r="F24" s="269">
        <f t="shared" ref="F24" si="11">SUM(F23+E24)</f>
        <v>182608.69565217398</v>
      </c>
      <c r="G24" s="269">
        <v>0</v>
      </c>
      <c r="H24" s="275">
        <f t="shared" ref="H24" si="12">SUM(H23+G24)</f>
        <v>200000</v>
      </c>
      <c r="I24" s="278">
        <v>93191.173913043458</v>
      </c>
      <c r="J24" s="269">
        <f t="shared" ref="J24" si="13">SUM(J23+I24)</f>
        <v>1957014.6521739126</v>
      </c>
      <c r="K24" s="270">
        <v>30738</v>
      </c>
      <c r="L24" s="279">
        <f t="shared" ref="L24" si="14">SUM(L23+K24)</f>
        <v>1022510</v>
      </c>
      <c r="M24" s="280">
        <v>2979.6521739130435</v>
      </c>
      <c r="N24" s="270">
        <f t="shared" ref="N24" si="15">SUM(N23+M24)</f>
        <v>62572.695652173883</v>
      </c>
      <c r="O24" s="270">
        <v>0</v>
      </c>
      <c r="P24" s="279">
        <f t="shared" ref="P24" si="16">SUM(P23+O24)</f>
        <v>68532</v>
      </c>
      <c r="Q24" s="278">
        <f t="shared" si="7"/>
        <v>104866.47826086954</v>
      </c>
      <c r="R24" s="270">
        <f t="shared" si="8"/>
        <v>2202196.0434782612</v>
      </c>
      <c r="S24" s="270">
        <f t="shared" si="9"/>
        <v>30738</v>
      </c>
      <c r="T24" s="270">
        <f t="shared" si="10"/>
        <v>1291042</v>
      </c>
      <c r="U24" s="283">
        <f>SUM(T24/R24)*100</f>
        <v>58.625207497914765</v>
      </c>
      <c r="V24" s="351">
        <v>2.95</v>
      </c>
      <c r="W24" s="342">
        <v>0</v>
      </c>
      <c r="X24" s="344">
        <v>0</v>
      </c>
      <c r="Y24" s="342">
        <v>0</v>
      </c>
    </row>
    <row r="25" spans="1:25" x14ac:dyDescent="0.25">
      <c r="A25" s="264">
        <v>6</v>
      </c>
      <c r="B25" s="264">
        <v>2</v>
      </c>
      <c r="C25" s="265">
        <v>44562</v>
      </c>
      <c r="D25" s="266">
        <v>44651</v>
      </c>
      <c r="E25" s="274">
        <v>8695.6521739130458</v>
      </c>
      <c r="F25" s="269">
        <f t="shared" ref="F25:F27" si="17">SUM(F24+E25)</f>
        <v>191304.34782608703</v>
      </c>
      <c r="G25" s="269">
        <v>0</v>
      </c>
      <c r="H25" s="275">
        <f t="shared" ref="H25:H26" si="18">SUM(H24+G25)</f>
        <v>200000</v>
      </c>
      <c r="I25" s="278">
        <v>93191.173913043458</v>
      </c>
      <c r="J25" s="269">
        <f t="shared" ref="J25:J27" si="19">SUM(J24+I25)</f>
        <v>2050205.8260869561</v>
      </c>
      <c r="K25" s="270">
        <v>1783</v>
      </c>
      <c r="L25" s="279">
        <f t="shared" ref="L25:L27" si="20">SUM(L24+K25)</f>
        <v>1024293</v>
      </c>
      <c r="M25" s="280">
        <v>2979.6521739130435</v>
      </c>
      <c r="N25" s="270">
        <f t="shared" ref="N25:N27" si="21">SUM(N24+M25)</f>
        <v>65552.347826086931</v>
      </c>
      <c r="O25" s="270">
        <v>0</v>
      </c>
      <c r="P25" s="279">
        <f t="shared" ref="P25:P27" si="22">SUM(P24+O25)</f>
        <v>68532</v>
      </c>
      <c r="Q25" s="278">
        <f t="shared" si="7"/>
        <v>104866.47826086954</v>
      </c>
      <c r="R25" s="270">
        <f t="shared" si="8"/>
        <v>2307062.5217391308</v>
      </c>
      <c r="S25" s="270">
        <f t="shared" si="9"/>
        <v>1783</v>
      </c>
      <c r="T25" s="270">
        <f t="shared" si="10"/>
        <v>1292825</v>
      </c>
      <c r="U25" s="283">
        <f>SUM(T25/R25)*100</f>
        <v>56.037709763731534</v>
      </c>
      <c r="V25" s="351">
        <v>2.95</v>
      </c>
      <c r="W25" s="342">
        <v>0</v>
      </c>
      <c r="X25" s="344">
        <v>0</v>
      </c>
      <c r="Y25" s="342">
        <v>0</v>
      </c>
    </row>
    <row r="26" spans="1:25" x14ac:dyDescent="0.25">
      <c r="A26" s="264">
        <v>6</v>
      </c>
      <c r="B26" s="264">
        <v>3</v>
      </c>
      <c r="C26" s="265">
        <v>44652</v>
      </c>
      <c r="D26" s="266">
        <v>44742</v>
      </c>
      <c r="E26" s="274">
        <v>8695.6521739130458</v>
      </c>
      <c r="F26" s="269">
        <f t="shared" si="17"/>
        <v>200000.00000000009</v>
      </c>
      <c r="G26" s="269">
        <v>0</v>
      </c>
      <c r="H26" s="275">
        <f t="shared" si="18"/>
        <v>200000</v>
      </c>
      <c r="I26" s="278">
        <v>93191.173913043458</v>
      </c>
      <c r="J26" s="269">
        <f t="shared" si="19"/>
        <v>2143396.9999999995</v>
      </c>
      <c r="K26" s="270">
        <v>230384</v>
      </c>
      <c r="L26" s="279">
        <f t="shared" si="20"/>
        <v>1254677</v>
      </c>
      <c r="M26" s="280">
        <v>2979.6521739130435</v>
      </c>
      <c r="N26" s="270">
        <f t="shared" si="21"/>
        <v>68531.999999999971</v>
      </c>
      <c r="O26" s="270">
        <v>0</v>
      </c>
      <c r="P26" s="279">
        <f t="shared" si="22"/>
        <v>68532</v>
      </c>
      <c r="Q26" s="278">
        <f t="shared" si="7"/>
        <v>104866.47826086954</v>
      </c>
      <c r="R26" s="270">
        <f t="shared" si="8"/>
        <v>2411929.0000000005</v>
      </c>
      <c r="S26" s="270">
        <f t="shared" si="9"/>
        <v>230384</v>
      </c>
      <c r="T26" s="270">
        <f t="shared" si="10"/>
        <v>1523209</v>
      </c>
      <c r="U26" s="283">
        <f>SUM(T26/R26)*100</f>
        <v>63.15314422605308</v>
      </c>
      <c r="V26" s="351">
        <v>2.95</v>
      </c>
      <c r="W26" s="342">
        <v>4</v>
      </c>
      <c r="X26" s="344">
        <v>0</v>
      </c>
      <c r="Y26" s="342">
        <v>0</v>
      </c>
    </row>
    <row r="27" spans="1:25" x14ac:dyDescent="0.25">
      <c r="A27" s="264">
        <v>6</v>
      </c>
      <c r="B27" s="264">
        <v>4</v>
      </c>
      <c r="C27" s="265">
        <v>44743</v>
      </c>
      <c r="D27" s="266">
        <v>44834</v>
      </c>
      <c r="E27" s="274"/>
      <c r="F27" s="269">
        <f t="shared" si="17"/>
        <v>200000.00000000009</v>
      </c>
      <c r="G27" s="269">
        <v>0</v>
      </c>
      <c r="H27" s="275">
        <v>0</v>
      </c>
      <c r="I27" s="278"/>
      <c r="J27" s="269">
        <f t="shared" si="19"/>
        <v>2143396.9999999995</v>
      </c>
      <c r="K27" s="270">
        <v>888720</v>
      </c>
      <c r="L27" s="279">
        <f t="shared" si="20"/>
        <v>2143397</v>
      </c>
      <c r="M27" s="280"/>
      <c r="N27" s="270">
        <f t="shared" si="21"/>
        <v>68531.999999999971</v>
      </c>
      <c r="O27" s="270">
        <v>0</v>
      </c>
      <c r="P27" s="279">
        <f t="shared" si="22"/>
        <v>68532</v>
      </c>
      <c r="Q27" s="278">
        <f t="shared" si="7"/>
        <v>0</v>
      </c>
      <c r="R27" s="270">
        <f t="shared" si="8"/>
        <v>2411929.0000000005</v>
      </c>
      <c r="S27" s="270">
        <f t="shared" si="9"/>
        <v>888720</v>
      </c>
      <c r="T27" s="270">
        <f t="shared" si="10"/>
        <v>2411929</v>
      </c>
      <c r="U27" s="283">
        <f>SUM(T27/R27)*100</f>
        <v>99.999999999999972</v>
      </c>
      <c r="V27" s="351"/>
      <c r="W27" s="342"/>
      <c r="X27" s="344"/>
      <c r="Y27" s="342"/>
    </row>
    <row r="28" spans="1:25" x14ac:dyDescent="0.25">
      <c r="A28" s="264">
        <v>7</v>
      </c>
      <c r="B28" s="264">
        <v>1</v>
      </c>
      <c r="C28" s="265">
        <v>44835</v>
      </c>
      <c r="D28" s="266">
        <v>44926</v>
      </c>
      <c r="E28" s="274"/>
      <c r="F28" s="269"/>
      <c r="G28" s="269"/>
      <c r="H28" s="275"/>
      <c r="I28" s="278"/>
      <c r="J28" s="269"/>
      <c r="K28" s="270"/>
      <c r="L28" s="279"/>
      <c r="M28" s="280"/>
      <c r="N28" s="270"/>
      <c r="O28" s="270"/>
      <c r="P28" s="279"/>
      <c r="Q28" s="278"/>
      <c r="R28" s="270"/>
      <c r="S28" s="270"/>
      <c r="T28" s="270"/>
      <c r="U28" s="283"/>
      <c r="V28" s="351"/>
      <c r="W28" s="342"/>
      <c r="X28" s="344"/>
      <c r="Y28" s="342"/>
    </row>
    <row r="29" spans="1:25" x14ac:dyDescent="0.25">
      <c r="A29" s="264">
        <v>7</v>
      </c>
      <c r="B29" s="264">
        <v>2</v>
      </c>
      <c r="C29" s="265">
        <v>44927</v>
      </c>
      <c r="D29" s="266">
        <v>45016</v>
      </c>
      <c r="E29" s="274"/>
      <c r="F29" s="269"/>
      <c r="G29" s="269"/>
      <c r="H29" s="275"/>
      <c r="I29" s="278"/>
      <c r="J29" s="269"/>
      <c r="K29" s="270"/>
      <c r="L29" s="279"/>
      <c r="M29" s="280"/>
      <c r="N29" s="270"/>
      <c r="O29" s="270"/>
      <c r="P29" s="279"/>
      <c r="Q29" s="278"/>
      <c r="R29" s="270"/>
      <c r="S29" s="270"/>
      <c r="T29" s="270"/>
      <c r="U29" s="283"/>
      <c r="V29" s="345"/>
      <c r="W29" s="345"/>
      <c r="X29" s="345"/>
      <c r="Y29" s="342"/>
    </row>
    <row r="30" spans="1:25" ht="15.75" thickBot="1" x14ac:dyDescent="0.3">
      <c r="A30" s="80"/>
      <c r="B30" s="80"/>
      <c r="C30" s="81"/>
      <c r="D30" s="84"/>
      <c r="E30" s="86">
        <f>SUM(E4:E27)</f>
        <v>200000.00000000009</v>
      </c>
      <c r="F30" s="48" t="s">
        <v>71</v>
      </c>
      <c r="G30" s="48" t="s">
        <v>19</v>
      </c>
      <c r="H30" s="49">
        <f>SUM(E30-H26)</f>
        <v>8.7311491370201111E-11</v>
      </c>
      <c r="I30" s="56">
        <f>SUM(I4:I27)</f>
        <v>2143396.9999999995</v>
      </c>
      <c r="J30" s="48" t="s">
        <v>71</v>
      </c>
      <c r="K30" s="48" t="s">
        <v>19</v>
      </c>
      <c r="L30" s="49">
        <f>J27-L27</f>
        <v>0</v>
      </c>
      <c r="M30" s="55">
        <f>SUM(M4:M27)</f>
        <v>68531.999999999971</v>
      </c>
      <c r="N30" s="48" t="s">
        <v>71</v>
      </c>
      <c r="O30" s="48" t="s">
        <v>19</v>
      </c>
      <c r="P30" s="49">
        <f>SUM(M30-P27)</f>
        <v>-2.9103830456733704E-11</v>
      </c>
      <c r="Q30" s="284">
        <f>SUM(E30+I30+M30)</f>
        <v>2411928.9999999995</v>
      </c>
      <c r="R30" s="48" t="s">
        <v>71</v>
      </c>
      <c r="S30" s="48" t="s">
        <v>19</v>
      </c>
      <c r="T30" s="62">
        <f>SUM(Q30-T27)</f>
        <v>-4.6566128730773926E-10</v>
      </c>
      <c r="U30" s="63"/>
      <c r="V30" s="345">
        <f>SUM(V4:V29)</f>
        <v>59.000000000000021</v>
      </c>
      <c r="W30" s="345">
        <f t="shared" ref="W30:Y30" si="23">SUM(W4:W29)</f>
        <v>4</v>
      </c>
      <c r="X30" s="345">
        <f t="shared" si="23"/>
        <v>1</v>
      </c>
      <c r="Y30" s="345">
        <f t="shared" si="23"/>
        <v>1</v>
      </c>
    </row>
    <row r="31" spans="1:25" ht="15.75" thickTop="1" x14ac:dyDescent="0.25">
      <c r="E31" s="110"/>
      <c r="I31" s="75"/>
      <c r="M31" s="256"/>
    </row>
    <row r="32" spans="1:25" x14ac:dyDescent="0.25">
      <c r="C32" s="18" t="s">
        <v>159</v>
      </c>
      <c r="D32" s="377">
        <v>44742</v>
      </c>
      <c r="M32" s="74"/>
    </row>
    <row r="33" spans="3:3" x14ac:dyDescent="0.25">
      <c r="C33" t="s">
        <v>162</v>
      </c>
    </row>
  </sheetData>
  <mergeCells count="6">
    <mergeCell ref="A1:U1"/>
    <mergeCell ref="A2:D2"/>
    <mergeCell ref="E2:H2"/>
    <mergeCell ref="I2:L2"/>
    <mergeCell ref="M2:P2"/>
    <mergeCell ref="Q2:T2"/>
  </mergeCells>
  <pageMargins left="0.7" right="0.7" top="0.75" bottom="0.75" header="0.3" footer="0.3"/>
  <pageSetup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45EBB-2376-4948-8ED7-05CCF5EB210F}">
  <dimension ref="A1:Y34"/>
  <sheetViews>
    <sheetView zoomScale="90" zoomScaleNormal="90" workbookViewId="0">
      <selection activeCell="V25" sqref="V25"/>
    </sheetView>
  </sheetViews>
  <sheetFormatPr defaultRowHeight="15" x14ac:dyDescent="0.25"/>
  <cols>
    <col min="1" max="1" width="3.7109375" customWidth="1"/>
    <col min="2" max="2" width="4.140625" customWidth="1"/>
    <col min="4" max="4" width="9.42578125" bestFit="1" customWidth="1"/>
    <col min="9" max="9" width="9.7109375" bestFit="1" customWidth="1"/>
    <col min="10" max="10" width="9.85546875" bestFit="1" customWidth="1"/>
    <col min="12" max="12" width="9.85546875" bestFit="1" customWidth="1"/>
    <col min="18" max="18" width="9.85546875" bestFit="1" customWidth="1"/>
    <col min="20" max="20" width="9.85546875" bestFit="1" customWidth="1"/>
    <col min="22" max="22" width="12.85546875" customWidth="1"/>
    <col min="23" max="23" width="12.28515625" customWidth="1"/>
    <col min="24" max="24" width="12.85546875" customWidth="1"/>
    <col min="25" max="25" width="12.28515625" customWidth="1"/>
  </cols>
  <sheetData>
    <row r="1" spans="1:25" ht="15.75" thickBot="1" x14ac:dyDescent="0.3">
      <c r="A1" s="410" t="s">
        <v>97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  <c r="N1" s="410"/>
      <c r="O1" s="410"/>
      <c r="P1" s="410"/>
      <c r="Q1" s="104"/>
      <c r="R1" s="104"/>
      <c r="S1" s="104"/>
      <c r="T1" s="104"/>
      <c r="U1" s="104"/>
      <c r="V1" s="352"/>
      <c r="W1" s="352"/>
      <c r="X1" s="352"/>
      <c r="Y1" s="352"/>
    </row>
    <row r="2" spans="1:25" ht="15.75" thickTop="1" x14ac:dyDescent="0.25">
      <c r="A2" s="411" t="s">
        <v>30</v>
      </c>
      <c r="B2" s="411"/>
      <c r="C2" s="411"/>
      <c r="D2" s="412"/>
      <c r="E2" s="408" t="s">
        <v>73</v>
      </c>
      <c r="F2" s="409"/>
      <c r="G2" s="409"/>
      <c r="H2" s="413"/>
      <c r="I2" s="408" t="s">
        <v>74</v>
      </c>
      <c r="J2" s="409"/>
      <c r="K2" s="409"/>
      <c r="L2" s="413"/>
      <c r="M2" s="408" t="s">
        <v>34</v>
      </c>
      <c r="N2" s="409"/>
      <c r="O2" s="409"/>
      <c r="P2" s="413"/>
      <c r="Q2" s="408" t="s">
        <v>35</v>
      </c>
      <c r="R2" s="409"/>
      <c r="S2" s="409"/>
      <c r="T2" s="409"/>
      <c r="U2" s="303"/>
      <c r="V2" s="353"/>
      <c r="W2" s="353"/>
      <c r="X2" s="353"/>
      <c r="Y2" s="353"/>
    </row>
    <row r="3" spans="1:25" ht="45" x14ac:dyDescent="0.25">
      <c r="A3" s="285" t="s">
        <v>46</v>
      </c>
      <c r="B3" s="285" t="s">
        <v>47</v>
      </c>
      <c r="C3" s="285" t="s">
        <v>39</v>
      </c>
      <c r="D3" s="292" t="s">
        <v>40</v>
      </c>
      <c r="E3" s="295" t="s">
        <v>75</v>
      </c>
      <c r="F3" s="285" t="s">
        <v>76</v>
      </c>
      <c r="G3" s="285" t="s">
        <v>77</v>
      </c>
      <c r="H3" s="296" t="s">
        <v>78</v>
      </c>
      <c r="I3" s="299" t="s">
        <v>75</v>
      </c>
      <c r="J3" s="286" t="s">
        <v>76</v>
      </c>
      <c r="K3" s="286" t="s">
        <v>77</v>
      </c>
      <c r="L3" s="300" t="s">
        <v>78</v>
      </c>
      <c r="M3" s="299" t="s">
        <v>75</v>
      </c>
      <c r="N3" s="286" t="s">
        <v>76</v>
      </c>
      <c r="O3" s="286" t="s">
        <v>77</v>
      </c>
      <c r="P3" s="300" t="s">
        <v>78</v>
      </c>
      <c r="Q3" s="299" t="s">
        <v>75</v>
      </c>
      <c r="R3" s="286" t="s">
        <v>76</v>
      </c>
      <c r="S3" s="286" t="s">
        <v>77</v>
      </c>
      <c r="T3" s="286" t="s">
        <v>78</v>
      </c>
      <c r="U3" s="304" t="s">
        <v>91</v>
      </c>
      <c r="V3" s="354" t="s">
        <v>143</v>
      </c>
      <c r="W3" s="355" t="s">
        <v>144</v>
      </c>
      <c r="X3" s="354" t="s">
        <v>145</v>
      </c>
      <c r="Y3" s="355" t="s">
        <v>146</v>
      </c>
    </row>
    <row r="4" spans="1:25" ht="36" x14ac:dyDescent="0.25">
      <c r="A4" s="285" t="s">
        <v>48</v>
      </c>
      <c r="B4" s="285" t="s">
        <v>49</v>
      </c>
      <c r="C4" s="287" t="s">
        <v>50</v>
      </c>
      <c r="D4" s="293" t="s">
        <v>51</v>
      </c>
      <c r="E4" s="297" t="s">
        <v>52</v>
      </c>
      <c r="F4" s="288" t="s">
        <v>53</v>
      </c>
      <c r="G4" s="288" t="s">
        <v>54</v>
      </c>
      <c r="H4" s="298" t="s">
        <v>55</v>
      </c>
      <c r="I4" s="301" t="s">
        <v>56</v>
      </c>
      <c r="J4" s="289" t="s">
        <v>57</v>
      </c>
      <c r="K4" s="289" t="s">
        <v>58</v>
      </c>
      <c r="L4" s="298" t="s">
        <v>59</v>
      </c>
      <c r="M4" s="301" t="s">
        <v>98</v>
      </c>
      <c r="N4" s="289" t="s">
        <v>99</v>
      </c>
      <c r="O4" s="288" t="s">
        <v>100</v>
      </c>
      <c r="P4" s="302" t="s">
        <v>101</v>
      </c>
      <c r="Q4" s="301" t="s">
        <v>102</v>
      </c>
      <c r="R4" s="289" t="s">
        <v>103</v>
      </c>
      <c r="S4" s="289" t="s">
        <v>104</v>
      </c>
      <c r="T4" s="289" t="s">
        <v>105</v>
      </c>
      <c r="U4" s="305" t="s">
        <v>106</v>
      </c>
      <c r="V4" s="356"/>
      <c r="W4" s="357"/>
      <c r="X4" s="356"/>
      <c r="Y4" s="357"/>
    </row>
    <row r="5" spans="1:25" x14ac:dyDescent="0.25">
      <c r="A5" s="285">
        <v>1</v>
      </c>
      <c r="B5" s="285">
        <v>1</v>
      </c>
      <c r="C5" s="287">
        <v>42644</v>
      </c>
      <c r="D5" s="293">
        <v>42735</v>
      </c>
      <c r="E5" s="280">
        <v>8695.652173913044</v>
      </c>
      <c r="F5" s="269">
        <f>SUM(0+ E5)</f>
        <v>8695.652173913044</v>
      </c>
      <c r="G5" s="269">
        <v>0</v>
      </c>
      <c r="H5" s="275">
        <f>SUM(0+ G5)</f>
        <v>0</v>
      </c>
      <c r="I5" s="278">
        <v>86367.695652173948</v>
      </c>
      <c r="J5" s="270">
        <f>I5</f>
        <v>86367.695652173948</v>
      </c>
      <c r="K5" s="270">
        <v>0</v>
      </c>
      <c r="L5" s="275">
        <f>SUM(0+ K5)</f>
        <v>0</v>
      </c>
      <c r="M5" s="278">
        <v>1400.3913043478265</v>
      </c>
      <c r="N5" s="270">
        <f>SUM(0+ M5)</f>
        <v>1400.3913043478265</v>
      </c>
      <c r="O5" s="269">
        <v>0</v>
      </c>
      <c r="P5" s="279">
        <f>SUM(0+ O5)</f>
        <v>0</v>
      </c>
      <c r="Q5" s="278">
        <f>SUM(E5+I5+M5)</f>
        <v>96463.739130434813</v>
      </c>
      <c r="R5" s="270">
        <f>SUM(0+ Q5)</f>
        <v>96463.739130434813</v>
      </c>
      <c r="S5" s="270">
        <f>SUM(G5+K5+O5)</f>
        <v>0</v>
      </c>
      <c r="T5" s="270">
        <f>SUM(0+ S5)</f>
        <v>0</v>
      </c>
      <c r="U5" s="283">
        <v>0</v>
      </c>
      <c r="V5" s="344">
        <v>0</v>
      </c>
      <c r="W5" s="342">
        <v>0</v>
      </c>
      <c r="X5" s="344">
        <v>0</v>
      </c>
      <c r="Y5" s="342">
        <v>0</v>
      </c>
    </row>
    <row r="6" spans="1:25" x14ac:dyDescent="0.25">
      <c r="A6" s="285">
        <v>1</v>
      </c>
      <c r="B6" s="285">
        <v>2</v>
      </c>
      <c r="C6" s="287">
        <v>42736</v>
      </c>
      <c r="D6" s="293">
        <v>42825</v>
      </c>
      <c r="E6" s="280">
        <v>8695.652173913044</v>
      </c>
      <c r="F6" s="269">
        <f t="shared" ref="F6:F28" si="0">SUM(F5+E6)</f>
        <v>17391.304347826088</v>
      </c>
      <c r="G6" s="269">
        <v>0</v>
      </c>
      <c r="H6" s="275">
        <f t="shared" ref="H6:H28" si="1">SUM(H5+G6)</f>
        <v>0</v>
      </c>
      <c r="I6" s="278">
        <v>86367.695652173948</v>
      </c>
      <c r="J6" s="269">
        <f>SUM(J5+I6)</f>
        <v>172735.3913043479</v>
      </c>
      <c r="K6" s="270">
        <v>0</v>
      </c>
      <c r="L6" s="275">
        <f t="shared" ref="L6:L28" si="2">SUM(L5+K6)</f>
        <v>0</v>
      </c>
      <c r="M6" s="278">
        <v>1400.3913043478265</v>
      </c>
      <c r="N6" s="270">
        <f t="shared" ref="N6:N28" si="3">SUM(N5+M6)</f>
        <v>2800.7826086956529</v>
      </c>
      <c r="O6" s="270">
        <v>0</v>
      </c>
      <c r="P6" s="279">
        <f t="shared" ref="P6:P28" si="4">SUM(P5+O6)</f>
        <v>0</v>
      </c>
      <c r="Q6" s="278">
        <f t="shared" ref="Q6:Q28" si="5">SUM(E6+I6+M6)</f>
        <v>96463.739130434813</v>
      </c>
      <c r="R6" s="270">
        <f t="shared" ref="R6:R28" si="6">SUM(R5+Q6)</f>
        <v>192927.47826086963</v>
      </c>
      <c r="S6" s="270">
        <f t="shared" ref="S6:S28" si="7">SUM(G6+K6+O6)</f>
        <v>0</v>
      </c>
      <c r="T6" s="270">
        <f t="shared" ref="T6:T28" si="8">SUM(T5+S6)</f>
        <v>0</v>
      </c>
      <c r="U6" s="283">
        <f t="shared" ref="U6:U28" si="9">SUM(T6/R6)*100</f>
        <v>0</v>
      </c>
      <c r="V6" s="344">
        <v>0</v>
      </c>
      <c r="W6" s="342">
        <v>0</v>
      </c>
      <c r="X6" s="344">
        <v>0</v>
      </c>
      <c r="Y6" s="342">
        <v>0</v>
      </c>
    </row>
    <row r="7" spans="1:25" x14ac:dyDescent="0.25">
      <c r="A7" s="285">
        <v>1</v>
      </c>
      <c r="B7" s="285">
        <v>3</v>
      </c>
      <c r="C7" s="287">
        <v>42826</v>
      </c>
      <c r="D7" s="293">
        <v>42916</v>
      </c>
      <c r="E7" s="280">
        <v>8695.652173913044</v>
      </c>
      <c r="F7" s="269">
        <f t="shared" si="0"/>
        <v>26086.956521739132</v>
      </c>
      <c r="G7" s="269">
        <v>0</v>
      </c>
      <c r="H7" s="275">
        <f t="shared" si="1"/>
        <v>0</v>
      </c>
      <c r="I7" s="278">
        <v>86367.695652173948</v>
      </c>
      <c r="J7" s="269">
        <f t="shared" ref="J7:J27" si="10">SUM(J6+I7)</f>
        <v>259103.08695652185</v>
      </c>
      <c r="K7" s="270">
        <v>0</v>
      </c>
      <c r="L7" s="275">
        <f t="shared" si="2"/>
        <v>0</v>
      </c>
      <c r="M7" s="278">
        <v>1400.3913043478265</v>
      </c>
      <c r="N7" s="270">
        <f t="shared" si="3"/>
        <v>4201.1739130434798</v>
      </c>
      <c r="O7" s="270">
        <v>0</v>
      </c>
      <c r="P7" s="279">
        <f t="shared" si="4"/>
        <v>0</v>
      </c>
      <c r="Q7" s="278">
        <f t="shared" si="5"/>
        <v>96463.739130434813</v>
      </c>
      <c r="R7" s="270">
        <f t="shared" si="6"/>
        <v>289391.21739130444</v>
      </c>
      <c r="S7" s="270">
        <f t="shared" si="7"/>
        <v>0</v>
      </c>
      <c r="T7" s="270">
        <f t="shared" si="8"/>
        <v>0</v>
      </c>
      <c r="U7" s="283">
        <f t="shared" si="9"/>
        <v>0</v>
      </c>
      <c r="V7" s="351">
        <v>0</v>
      </c>
      <c r="W7" s="342">
        <v>0</v>
      </c>
      <c r="X7" s="344">
        <v>0</v>
      </c>
      <c r="Y7" s="342">
        <v>0</v>
      </c>
    </row>
    <row r="8" spans="1:25" x14ac:dyDescent="0.25">
      <c r="A8" s="285">
        <v>1</v>
      </c>
      <c r="B8" s="285">
        <v>4</v>
      </c>
      <c r="C8" s="287">
        <v>42917</v>
      </c>
      <c r="D8" s="293">
        <v>43008</v>
      </c>
      <c r="E8" s="280">
        <v>8695.652173913044</v>
      </c>
      <c r="F8" s="269">
        <f t="shared" si="0"/>
        <v>34782.608695652176</v>
      </c>
      <c r="G8" s="269">
        <v>0</v>
      </c>
      <c r="H8" s="275">
        <f t="shared" si="1"/>
        <v>0</v>
      </c>
      <c r="I8" s="278">
        <v>86367.695652173948</v>
      </c>
      <c r="J8" s="269">
        <f t="shared" si="10"/>
        <v>345470.78260869579</v>
      </c>
      <c r="K8" s="270">
        <v>50913</v>
      </c>
      <c r="L8" s="275">
        <f t="shared" si="2"/>
        <v>50913</v>
      </c>
      <c r="M8" s="278">
        <v>1400.3913043478265</v>
      </c>
      <c r="N8" s="270">
        <f t="shared" si="3"/>
        <v>5601.5652173913059</v>
      </c>
      <c r="O8" s="270">
        <v>0</v>
      </c>
      <c r="P8" s="279">
        <f t="shared" si="4"/>
        <v>0</v>
      </c>
      <c r="Q8" s="278">
        <f t="shared" si="5"/>
        <v>96463.739130434813</v>
      </c>
      <c r="R8" s="270">
        <f t="shared" si="6"/>
        <v>385854.95652173925</v>
      </c>
      <c r="S8" s="270">
        <f t="shared" si="7"/>
        <v>50913</v>
      </c>
      <c r="T8" s="270">
        <f>SUM(T7+S8)</f>
        <v>50913</v>
      </c>
      <c r="U8" s="283">
        <f>SUM(T8/R8)*100</f>
        <v>13.194854475617326</v>
      </c>
      <c r="V8" s="351">
        <v>1.6</v>
      </c>
      <c r="W8" s="342">
        <v>0</v>
      </c>
      <c r="X8" s="344">
        <v>0</v>
      </c>
      <c r="Y8" s="342">
        <v>0</v>
      </c>
    </row>
    <row r="9" spans="1:25" x14ac:dyDescent="0.25">
      <c r="A9" s="285">
        <v>2</v>
      </c>
      <c r="B9" s="285">
        <v>1</v>
      </c>
      <c r="C9" s="287">
        <v>43009</v>
      </c>
      <c r="D9" s="293">
        <v>43100</v>
      </c>
      <c r="E9" s="280">
        <v>8695.652173913044</v>
      </c>
      <c r="F9" s="269">
        <f t="shared" si="0"/>
        <v>43478.260869565216</v>
      </c>
      <c r="G9" s="269">
        <v>0</v>
      </c>
      <c r="H9" s="275">
        <f t="shared" si="1"/>
        <v>0</v>
      </c>
      <c r="I9" s="278">
        <v>86367.695652173948</v>
      </c>
      <c r="J9" s="269">
        <f t="shared" si="10"/>
        <v>431838.47826086974</v>
      </c>
      <c r="K9" s="270">
        <v>5833</v>
      </c>
      <c r="L9" s="275">
        <f t="shared" si="2"/>
        <v>56746</v>
      </c>
      <c r="M9" s="278">
        <v>1400.3913043478265</v>
      </c>
      <c r="N9" s="270">
        <f t="shared" si="3"/>
        <v>7001.9565217391319</v>
      </c>
      <c r="O9" s="270">
        <v>0</v>
      </c>
      <c r="P9" s="279"/>
      <c r="Q9" s="278">
        <f t="shared" si="5"/>
        <v>96463.739130434813</v>
      </c>
      <c r="R9" s="270">
        <f t="shared" si="6"/>
        <v>482318.69565217406</v>
      </c>
      <c r="S9" s="270">
        <f t="shared" si="7"/>
        <v>5833</v>
      </c>
      <c r="T9" s="270">
        <f t="shared" si="8"/>
        <v>56746</v>
      </c>
      <c r="U9" s="283">
        <f t="shared" si="9"/>
        <v>11.765249929462113</v>
      </c>
      <c r="V9" s="351">
        <v>1.6</v>
      </c>
      <c r="W9" s="342">
        <v>0</v>
      </c>
      <c r="X9" s="344">
        <v>0</v>
      </c>
      <c r="Y9" s="342">
        <v>0</v>
      </c>
    </row>
    <row r="10" spans="1:25" x14ac:dyDescent="0.25">
      <c r="A10" s="285">
        <v>2</v>
      </c>
      <c r="B10" s="285">
        <v>2</v>
      </c>
      <c r="C10" s="287">
        <v>43101</v>
      </c>
      <c r="D10" s="293">
        <v>43190</v>
      </c>
      <c r="E10" s="280">
        <v>8695.652173913044</v>
      </c>
      <c r="F10" s="269">
        <f t="shared" si="0"/>
        <v>52173.913043478256</v>
      </c>
      <c r="G10" s="269">
        <v>35</v>
      </c>
      <c r="H10" s="275">
        <f>SUM(H9+G10)</f>
        <v>35</v>
      </c>
      <c r="I10" s="278">
        <v>86367.695652173948</v>
      </c>
      <c r="J10" s="269">
        <f t="shared" si="10"/>
        <v>518206.17391304369</v>
      </c>
      <c r="K10" s="270">
        <v>2155</v>
      </c>
      <c r="L10" s="275">
        <f t="shared" si="2"/>
        <v>58901</v>
      </c>
      <c r="M10" s="278">
        <v>1400.3913043478265</v>
      </c>
      <c r="N10" s="270">
        <f>SUM(N9+M10)</f>
        <v>8402.3478260869579</v>
      </c>
      <c r="O10" s="270">
        <v>2697</v>
      </c>
      <c r="P10" s="279">
        <f t="shared" si="4"/>
        <v>2697</v>
      </c>
      <c r="Q10" s="278">
        <f t="shared" si="5"/>
        <v>96463.739130434813</v>
      </c>
      <c r="R10" s="270">
        <f t="shared" si="6"/>
        <v>578782.43478260888</v>
      </c>
      <c r="S10" s="270">
        <f t="shared" si="7"/>
        <v>4887</v>
      </c>
      <c r="T10" s="270">
        <f t="shared" si="8"/>
        <v>61633</v>
      </c>
      <c r="U10" s="283">
        <f t="shared" si="9"/>
        <v>10.648733668489681</v>
      </c>
      <c r="V10" s="351">
        <v>1.6</v>
      </c>
      <c r="W10" s="342">
        <v>0</v>
      </c>
      <c r="X10" s="344">
        <v>0</v>
      </c>
      <c r="Y10" s="342">
        <v>0</v>
      </c>
    </row>
    <row r="11" spans="1:25" x14ac:dyDescent="0.25">
      <c r="A11" s="285">
        <v>2</v>
      </c>
      <c r="B11" s="285">
        <v>3</v>
      </c>
      <c r="C11" s="287">
        <v>43191</v>
      </c>
      <c r="D11" s="293">
        <v>43281</v>
      </c>
      <c r="E11" s="280">
        <v>8695.652173913044</v>
      </c>
      <c r="F11" s="269">
        <f t="shared" si="0"/>
        <v>60869.565217391297</v>
      </c>
      <c r="G11" s="269">
        <v>31677</v>
      </c>
      <c r="H11" s="275">
        <f>SUM(H10+G11)</f>
        <v>31712</v>
      </c>
      <c r="I11" s="278">
        <v>86367.695652173948</v>
      </c>
      <c r="J11" s="269">
        <f t="shared" si="10"/>
        <v>604573.86956521764</v>
      </c>
      <c r="K11" s="270">
        <v>14188</v>
      </c>
      <c r="L11" s="275">
        <f t="shared" si="2"/>
        <v>73089</v>
      </c>
      <c r="M11" s="278">
        <v>1400.3913043478265</v>
      </c>
      <c r="N11" s="270">
        <f t="shared" si="3"/>
        <v>9802.7391304347839</v>
      </c>
      <c r="O11" s="270">
        <v>6421</v>
      </c>
      <c r="P11" s="279">
        <f t="shared" si="4"/>
        <v>9118</v>
      </c>
      <c r="Q11" s="278">
        <f t="shared" si="5"/>
        <v>96463.739130434813</v>
      </c>
      <c r="R11" s="270">
        <f t="shared" si="6"/>
        <v>675246.17391304369</v>
      </c>
      <c r="S11" s="270">
        <f t="shared" si="7"/>
        <v>52286</v>
      </c>
      <c r="T11" s="270">
        <f t="shared" si="8"/>
        <v>113919</v>
      </c>
      <c r="U11" s="283">
        <f t="shared" si="9"/>
        <v>16.870736096117469</v>
      </c>
      <c r="V11" s="351">
        <v>1.6</v>
      </c>
      <c r="W11" s="342">
        <v>0</v>
      </c>
      <c r="X11" s="344">
        <v>0</v>
      </c>
      <c r="Y11" s="342">
        <v>0</v>
      </c>
    </row>
    <row r="12" spans="1:25" x14ac:dyDescent="0.25">
      <c r="A12" s="285">
        <v>2</v>
      </c>
      <c r="B12" s="285">
        <v>4</v>
      </c>
      <c r="C12" s="287">
        <v>43282</v>
      </c>
      <c r="D12" s="293">
        <v>43373</v>
      </c>
      <c r="E12" s="280">
        <v>8695.652173913044</v>
      </c>
      <c r="F12" s="269">
        <f t="shared" si="0"/>
        <v>69565.217391304337</v>
      </c>
      <c r="G12" s="269">
        <v>22543</v>
      </c>
      <c r="H12" s="275">
        <f t="shared" si="1"/>
        <v>54255</v>
      </c>
      <c r="I12" s="278">
        <v>86367.695652173948</v>
      </c>
      <c r="J12" s="269">
        <f t="shared" si="10"/>
        <v>690941.56521739159</v>
      </c>
      <c r="K12" s="270">
        <v>309</v>
      </c>
      <c r="L12" s="275">
        <f t="shared" si="2"/>
        <v>73398</v>
      </c>
      <c r="M12" s="278">
        <v>1400.3913043478265</v>
      </c>
      <c r="N12" s="270">
        <f t="shared" si="3"/>
        <v>11203.13043478261</v>
      </c>
      <c r="O12" s="270">
        <v>0</v>
      </c>
      <c r="P12" s="279">
        <f t="shared" si="4"/>
        <v>9118</v>
      </c>
      <c r="Q12" s="278">
        <f t="shared" si="5"/>
        <v>96463.739130434813</v>
      </c>
      <c r="R12" s="270">
        <f t="shared" si="6"/>
        <v>771709.9130434785</v>
      </c>
      <c r="S12" s="270">
        <f t="shared" si="7"/>
        <v>22852</v>
      </c>
      <c r="T12" s="270">
        <f t="shared" si="8"/>
        <v>136771</v>
      </c>
      <c r="U12" s="283">
        <f t="shared" si="9"/>
        <v>17.723110418602886</v>
      </c>
      <c r="V12" s="351">
        <v>1.6</v>
      </c>
      <c r="W12" s="342">
        <v>0</v>
      </c>
      <c r="X12" s="344">
        <v>0</v>
      </c>
      <c r="Y12" s="342">
        <v>0</v>
      </c>
    </row>
    <row r="13" spans="1:25" x14ac:dyDescent="0.25">
      <c r="A13" s="285">
        <v>3</v>
      </c>
      <c r="B13" s="285">
        <v>1</v>
      </c>
      <c r="C13" s="287">
        <v>43374</v>
      </c>
      <c r="D13" s="293">
        <v>43465</v>
      </c>
      <c r="E13" s="280">
        <v>8695.652173913044</v>
      </c>
      <c r="F13" s="269">
        <f t="shared" si="0"/>
        <v>78260.869565217377</v>
      </c>
      <c r="G13" s="269">
        <v>53988</v>
      </c>
      <c r="H13" s="275">
        <f t="shared" si="1"/>
        <v>108243</v>
      </c>
      <c r="I13" s="278">
        <v>86367.695652173948</v>
      </c>
      <c r="J13" s="269">
        <f t="shared" si="10"/>
        <v>777309.26086956554</v>
      </c>
      <c r="K13" s="270">
        <v>11822</v>
      </c>
      <c r="L13" s="275">
        <f t="shared" si="2"/>
        <v>85220</v>
      </c>
      <c r="M13" s="278">
        <v>1400.3913043478265</v>
      </c>
      <c r="N13" s="270">
        <f t="shared" si="3"/>
        <v>12603.521739130436</v>
      </c>
      <c r="O13" s="270">
        <v>0</v>
      </c>
      <c r="P13" s="279">
        <f t="shared" si="4"/>
        <v>9118</v>
      </c>
      <c r="Q13" s="278">
        <f t="shared" si="5"/>
        <v>96463.739130434813</v>
      </c>
      <c r="R13" s="270">
        <f t="shared" si="6"/>
        <v>868173.65217391332</v>
      </c>
      <c r="S13" s="270">
        <f t="shared" si="7"/>
        <v>65810</v>
      </c>
      <c r="T13" s="270">
        <f t="shared" si="8"/>
        <v>202581</v>
      </c>
      <c r="U13" s="283">
        <f t="shared" si="9"/>
        <v>23.33415665088841</v>
      </c>
      <c r="V13" s="351">
        <v>1.6</v>
      </c>
      <c r="W13" s="342">
        <v>0</v>
      </c>
      <c r="X13" s="344">
        <v>0</v>
      </c>
      <c r="Y13" s="342">
        <v>0</v>
      </c>
    </row>
    <row r="14" spans="1:25" x14ac:dyDescent="0.25">
      <c r="A14" s="285">
        <v>3</v>
      </c>
      <c r="B14" s="285">
        <v>2</v>
      </c>
      <c r="C14" s="287">
        <v>43466</v>
      </c>
      <c r="D14" s="293">
        <v>43555</v>
      </c>
      <c r="E14" s="280">
        <v>8695.652173913044</v>
      </c>
      <c r="F14" s="269">
        <f t="shared" si="0"/>
        <v>86956.521739130418</v>
      </c>
      <c r="G14" s="269">
        <v>65019</v>
      </c>
      <c r="H14" s="275">
        <f t="shared" si="1"/>
        <v>173262</v>
      </c>
      <c r="I14" s="278">
        <v>86367.695652173948</v>
      </c>
      <c r="J14" s="269">
        <f t="shared" si="10"/>
        <v>863676.95652173948</v>
      </c>
      <c r="K14" s="270">
        <v>18965</v>
      </c>
      <c r="L14" s="275">
        <f t="shared" si="2"/>
        <v>104185</v>
      </c>
      <c r="M14" s="278">
        <v>1400.3913043478265</v>
      </c>
      <c r="N14" s="270">
        <f t="shared" si="3"/>
        <v>14003.913043478262</v>
      </c>
      <c r="O14" s="270">
        <v>496</v>
      </c>
      <c r="P14" s="279">
        <f t="shared" si="4"/>
        <v>9614</v>
      </c>
      <c r="Q14" s="278">
        <f t="shared" si="5"/>
        <v>96463.739130434813</v>
      </c>
      <c r="R14" s="270">
        <f t="shared" si="6"/>
        <v>964637.39130434813</v>
      </c>
      <c r="S14" s="270">
        <f t="shared" si="7"/>
        <v>84480</v>
      </c>
      <c r="T14" s="270">
        <f t="shared" si="8"/>
        <v>287061</v>
      </c>
      <c r="U14" s="283">
        <f t="shared" si="9"/>
        <v>29.758435925010783</v>
      </c>
      <c r="V14" s="351">
        <v>1.6</v>
      </c>
      <c r="W14" s="342">
        <v>0</v>
      </c>
      <c r="X14" s="344">
        <v>0</v>
      </c>
      <c r="Y14" s="342">
        <v>0</v>
      </c>
    </row>
    <row r="15" spans="1:25" x14ac:dyDescent="0.25">
      <c r="A15" s="285">
        <v>3</v>
      </c>
      <c r="B15" s="285">
        <v>3</v>
      </c>
      <c r="C15" s="287">
        <v>43556</v>
      </c>
      <c r="D15" s="293">
        <v>43646</v>
      </c>
      <c r="E15" s="280">
        <v>8695.652173913044</v>
      </c>
      <c r="F15" s="269">
        <f t="shared" si="0"/>
        <v>95652.173913043458</v>
      </c>
      <c r="G15" s="269">
        <v>12687</v>
      </c>
      <c r="H15" s="275">
        <f t="shared" si="1"/>
        <v>185949</v>
      </c>
      <c r="I15" s="278">
        <v>86367.695652173948</v>
      </c>
      <c r="J15" s="269">
        <f t="shared" si="10"/>
        <v>950044.65217391343</v>
      </c>
      <c r="K15" s="270">
        <v>25002</v>
      </c>
      <c r="L15" s="275">
        <f t="shared" si="2"/>
        <v>129187</v>
      </c>
      <c r="M15" s="278">
        <v>1400.3913043478265</v>
      </c>
      <c r="N15" s="270">
        <f t="shared" si="3"/>
        <v>15404.304347826088</v>
      </c>
      <c r="O15" s="270">
        <v>2010</v>
      </c>
      <c r="P15" s="279">
        <f t="shared" si="4"/>
        <v>11624</v>
      </c>
      <c r="Q15" s="278">
        <f t="shared" si="5"/>
        <v>96463.739130434813</v>
      </c>
      <c r="R15" s="270">
        <f t="shared" si="6"/>
        <v>1061101.1304347829</v>
      </c>
      <c r="S15" s="270">
        <f t="shared" si="7"/>
        <v>39699</v>
      </c>
      <c r="T15" s="270">
        <f t="shared" si="8"/>
        <v>326760</v>
      </c>
      <c r="U15" s="283">
        <f t="shared" si="9"/>
        <v>30.794425774111755</v>
      </c>
      <c r="V15" s="351">
        <v>1.6</v>
      </c>
      <c r="W15" s="342">
        <v>0</v>
      </c>
      <c r="X15" s="344">
        <v>0</v>
      </c>
      <c r="Y15" s="342">
        <v>0</v>
      </c>
    </row>
    <row r="16" spans="1:25" x14ac:dyDescent="0.25">
      <c r="A16" s="285">
        <v>3</v>
      </c>
      <c r="B16" s="285">
        <v>4</v>
      </c>
      <c r="C16" s="287">
        <v>43653</v>
      </c>
      <c r="D16" s="293">
        <v>43738</v>
      </c>
      <c r="E16" s="280">
        <v>8695.652173913044</v>
      </c>
      <c r="F16" s="269">
        <f t="shared" si="0"/>
        <v>104347.8260869565</v>
      </c>
      <c r="G16" s="269">
        <v>9577</v>
      </c>
      <c r="H16" s="275">
        <f t="shared" si="1"/>
        <v>195526</v>
      </c>
      <c r="I16" s="278">
        <v>86367.695652173948</v>
      </c>
      <c r="J16" s="269">
        <f t="shared" si="10"/>
        <v>1036412.3478260874</v>
      </c>
      <c r="K16" s="270">
        <v>27357</v>
      </c>
      <c r="L16" s="275">
        <f t="shared" si="2"/>
        <v>156544</v>
      </c>
      <c r="M16" s="278">
        <v>1400.3913043478265</v>
      </c>
      <c r="N16" s="270">
        <f t="shared" si="3"/>
        <v>16804.695652173916</v>
      </c>
      <c r="O16" s="270">
        <v>0</v>
      </c>
      <c r="P16" s="279">
        <f t="shared" si="4"/>
        <v>11624</v>
      </c>
      <c r="Q16" s="278">
        <f t="shared" si="5"/>
        <v>96463.739130434813</v>
      </c>
      <c r="R16" s="270">
        <f t="shared" si="6"/>
        <v>1157564.8695652178</v>
      </c>
      <c r="S16" s="270">
        <f t="shared" si="7"/>
        <v>36934</v>
      </c>
      <c r="T16" s="270">
        <f t="shared" si="8"/>
        <v>363694</v>
      </c>
      <c r="U16" s="283">
        <f t="shared" si="9"/>
        <v>31.418887145098289</v>
      </c>
      <c r="V16" s="351">
        <v>1.6</v>
      </c>
      <c r="W16" s="342">
        <v>0</v>
      </c>
      <c r="X16" s="344">
        <v>0</v>
      </c>
      <c r="Y16" s="342">
        <v>1</v>
      </c>
    </row>
    <row r="17" spans="1:25" x14ac:dyDescent="0.25">
      <c r="A17" s="285">
        <v>4</v>
      </c>
      <c r="B17" s="285">
        <v>1</v>
      </c>
      <c r="C17" s="287">
        <v>43739</v>
      </c>
      <c r="D17" s="293">
        <v>43830</v>
      </c>
      <c r="E17" s="280">
        <v>8695.652173913044</v>
      </c>
      <c r="F17" s="269">
        <f t="shared" si="0"/>
        <v>113043.47826086954</v>
      </c>
      <c r="G17" s="269">
        <v>4474</v>
      </c>
      <c r="H17" s="275">
        <f t="shared" si="1"/>
        <v>200000</v>
      </c>
      <c r="I17" s="278">
        <v>86367.695652173948</v>
      </c>
      <c r="J17" s="269">
        <f t="shared" si="10"/>
        <v>1122780.0434782612</v>
      </c>
      <c r="K17" s="270">
        <v>58547</v>
      </c>
      <c r="L17" s="275">
        <f t="shared" si="2"/>
        <v>215091</v>
      </c>
      <c r="M17" s="278">
        <v>1400.3913043478265</v>
      </c>
      <c r="N17" s="270">
        <f t="shared" si="3"/>
        <v>18205.086956521744</v>
      </c>
      <c r="O17" s="270">
        <v>4574</v>
      </c>
      <c r="P17" s="279">
        <f t="shared" si="4"/>
        <v>16198</v>
      </c>
      <c r="Q17" s="278">
        <f t="shared" si="5"/>
        <v>96463.739130434813</v>
      </c>
      <c r="R17" s="270">
        <f t="shared" si="6"/>
        <v>1254028.6086956526</v>
      </c>
      <c r="S17" s="270">
        <f t="shared" si="7"/>
        <v>67595</v>
      </c>
      <c r="T17" s="270">
        <f t="shared" si="8"/>
        <v>431289</v>
      </c>
      <c r="U17" s="283">
        <f t="shared" si="9"/>
        <v>34.392277577191379</v>
      </c>
      <c r="V17" s="351">
        <v>1.6</v>
      </c>
      <c r="W17" s="342">
        <v>0</v>
      </c>
      <c r="X17" s="344">
        <v>0</v>
      </c>
      <c r="Y17" s="342">
        <v>0</v>
      </c>
    </row>
    <row r="18" spans="1:25" x14ac:dyDescent="0.25">
      <c r="A18" s="285">
        <v>4</v>
      </c>
      <c r="B18" s="285">
        <v>2</v>
      </c>
      <c r="C18" s="287">
        <v>43831</v>
      </c>
      <c r="D18" s="293">
        <v>43921</v>
      </c>
      <c r="E18" s="280">
        <v>8695.652173913044</v>
      </c>
      <c r="F18" s="269">
        <f t="shared" si="0"/>
        <v>121739.13043478258</v>
      </c>
      <c r="G18" s="269">
        <v>0</v>
      </c>
      <c r="H18" s="275">
        <f t="shared" si="1"/>
        <v>200000</v>
      </c>
      <c r="I18" s="278">
        <v>86367.695652173948</v>
      </c>
      <c r="J18" s="269">
        <f t="shared" si="10"/>
        <v>1209147.739130435</v>
      </c>
      <c r="K18" s="270">
        <v>32649</v>
      </c>
      <c r="L18" s="275">
        <f t="shared" si="2"/>
        <v>247740</v>
      </c>
      <c r="M18" s="278">
        <v>1400.3913043478265</v>
      </c>
      <c r="N18" s="270">
        <f t="shared" si="3"/>
        <v>19605.478260869571</v>
      </c>
      <c r="O18" s="270">
        <v>1022</v>
      </c>
      <c r="P18" s="279">
        <f t="shared" si="4"/>
        <v>17220</v>
      </c>
      <c r="Q18" s="278">
        <f t="shared" si="5"/>
        <v>96463.739130434813</v>
      </c>
      <c r="R18" s="270">
        <f t="shared" si="6"/>
        <v>1350492.3478260874</v>
      </c>
      <c r="S18" s="270">
        <f t="shared" si="7"/>
        <v>33671</v>
      </c>
      <c r="T18" s="270">
        <f t="shared" si="8"/>
        <v>464960</v>
      </c>
      <c r="U18" s="283">
        <f t="shared" si="9"/>
        <v>34.428925180394749</v>
      </c>
      <c r="V18" s="351">
        <v>1.6</v>
      </c>
      <c r="W18" s="342">
        <v>0</v>
      </c>
      <c r="X18" s="344">
        <v>1</v>
      </c>
      <c r="Y18" s="342">
        <v>0</v>
      </c>
    </row>
    <row r="19" spans="1:25" x14ac:dyDescent="0.25">
      <c r="A19" s="285">
        <v>4</v>
      </c>
      <c r="B19" s="285">
        <v>3</v>
      </c>
      <c r="C19" s="287">
        <v>43922</v>
      </c>
      <c r="D19" s="293">
        <v>44012</v>
      </c>
      <c r="E19" s="280">
        <v>8695.652173913044</v>
      </c>
      <c r="F19" s="269">
        <f t="shared" si="0"/>
        <v>130434.78260869562</v>
      </c>
      <c r="G19" s="269">
        <v>0</v>
      </c>
      <c r="H19" s="275">
        <f t="shared" si="1"/>
        <v>200000</v>
      </c>
      <c r="I19" s="278">
        <v>86367.695652173948</v>
      </c>
      <c r="J19" s="269">
        <f t="shared" si="10"/>
        <v>1295515.4347826089</v>
      </c>
      <c r="K19" s="270">
        <v>19573</v>
      </c>
      <c r="L19" s="275">
        <f t="shared" si="2"/>
        <v>267313</v>
      </c>
      <c r="M19" s="278">
        <v>1400.3913043478265</v>
      </c>
      <c r="N19" s="270">
        <f t="shared" si="3"/>
        <v>21005.869565217399</v>
      </c>
      <c r="O19" s="270">
        <v>0</v>
      </c>
      <c r="P19" s="279">
        <f t="shared" si="4"/>
        <v>17220</v>
      </c>
      <c r="Q19" s="278">
        <f t="shared" si="5"/>
        <v>96463.739130434813</v>
      </c>
      <c r="R19" s="270">
        <f t="shared" si="6"/>
        <v>1446956.0869565222</v>
      </c>
      <c r="S19" s="270">
        <f t="shared" si="7"/>
        <v>19573</v>
      </c>
      <c r="T19" s="270">
        <f t="shared" si="8"/>
        <v>484533</v>
      </c>
      <c r="U19" s="283">
        <f t="shared" si="9"/>
        <v>33.486365230278004</v>
      </c>
      <c r="V19" s="351">
        <v>1.6</v>
      </c>
      <c r="W19" s="342">
        <v>0</v>
      </c>
      <c r="X19" s="344">
        <v>0</v>
      </c>
      <c r="Y19" s="342">
        <v>0</v>
      </c>
    </row>
    <row r="20" spans="1:25" x14ac:dyDescent="0.25">
      <c r="A20" s="285">
        <v>4</v>
      </c>
      <c r="B20" s="285">
        <v>4</v>
      </c>
      <c r="C20" s="287">
        <v>44013</v>
      </c>
      <c r="D20" s="293">
        <v>44104</v>
      </c>
      <c r="E20" s="280">
        <v>8695.652173913044</v>
      </c>
      <c r="F20" s="269">
        <f t="shared" si="0"/>
        <v>139130.43478260867</v>
      </c>
      <c r="G20" s="269">
        <v>0</v>
      </c>
      <c r="H20" s="275">
        <f t="shared" si="1"/>
        <v>200000</v>
      </c>
      <c r="I20" s="278">
        <v>86367.695652173948</v>
      </c>
      <c r="J20" s="269">
        <f t="shared" si="10"/>
        <v>1381883.1304347827</v>
      </c>
      <c r="K20" s="270">
        <v>64968</v>
      </c>
      <c r="L20" s="275">
        <f t="shared" si="2"/>
        <v>332281</v>
      </c>
      <c r="M20" s="278">
        <v>1400.3913043478265</v>
      </c>
      <c r="N20" s="270">
        <f t="shared" si="3"/>
        <v>22406.260869565227</v>
      </c>
      <c r="O20" s="270">
        <v>1943</v>
      </c>
      <c r="P20" s="279">
        <f t="shared" si="4"/>
        <v>19163</v>
      </c>
      <c r="Q20" s="278">
        <f t="shared" si="5"/>
        <v>96463.739130434813</v>
      </c>
      <c r="R20" s="270">
        <f t="shared" si="6"/>
        <v>1543419.826086957</v>
      </c>
      <c r="S20" s="270">
        <f t="shared" si="7"/>
        <v>66911</v>
      </c>
      <c r="T20" s="270">
        <f t="shared" si="8"/>
        <v>551444</v>
      </c>
      <c r="U20" s="283">
        <f t="shared" si="9"/>
        <v>35.728710405261523</v>
      </c>
      <c r="V20" s="351">
        <v>1.6</v>
      </c>
      <c r="W20" s="342">
        <v>0</v>
      </c>
      <c r="X20" s="344">
        <v>0</v>
      </c>
      <c r="Y20" s="342">
        <v>0</v>
      </c>
    </row>
    <row r="21" spans="1:25" x14ac:dyDescent="0.25">
      <c r="A21" s="285">
        <v>5</v>
      </c>
      <c r="B21" s="285">
        <v>1</v>
      </c>
      <c r="C21" s="287">
        <v>44105</v>
      </c>
      <c r="D21" s="293">
        <v>44196</v>
      </c>
      <c r="E21" s="280">
        <v>8695.652173913044</v>
      </c>
      <c r="F21" s="269">
        <f t="shared" si="0"/>
        <v>147826.08695652173</v>
      </c>
      <c r="G21" s="269">
        <v>0</v>
      </c>
      <c r="H21" s="275">
        <f t="shared" si="1"/>
        <v>200000</v>
      </c>
      <c r="I21" s="278">
        <v>86367.695652173948</v>
      </c>
      <c r="J21" s="269">
        <f t="shared" si="10"/>
        <v>1468250.8260869565</v>
      </c>
      <c r="K21" s="270">
        <v>146883</v>
      </c>
      <c r="L21" s="275">
        <f t="shared" si="2"/>
        <v>479164</v>
      </c>
      <c r="M21" s="278">
        <v>1400.3913043478265</v>
      </c>
      <c r="N21" s="270">
        <f t="shared" si="3"/>
        <v>23806.652173913055</v>
      </c>
      <c r="O21" s="270">
        <v>0</v>
      </c>
      <c r="P21" s="279">
        <f t="shared" si="4"/>
        <v>19163</v>
      </c>
      <c r="Q21" s="278">
        <f t="shared" si="5"/>
        <v>96463.739130434813</v>
      </c>
      <c r="R21" s="270">
        <f t="shared" si="6"/>
        <v>1639883.5652173918</v>
      </c>
      <c r="S21" s="270">
        <f t="shared" si="7"/>
        <v>146883</v>
      </c>
      <c r="T21" s="270">
        <f t="shared" si="8"/>
        <v>698327</v>
      </c>
      <c r="U21" s="283">
        <f t="shared" si="9"/>
        <v>42.583937958267541</v>
      </c>
      <c r="V21" s="351">
        <v>1.6</v>
      </c>
      <c r="W21" s="342">
        <v>0</v>
      </c>
      <c r="X21" s="344">
        <v>0</v>
      </c>
      <c r="Y21" s="342">
        <v>0</v>
      </c>
    </row>
    <row r="22" spans="1:25" x14ac:dyDescent="0.25">
      <c r="A22" s="285">
        <v>5</v>
      </c>
      <c r="B22" s="285">
        <v>2</v>
      </c>
      <c r="C22" s="287">
        <v>44197</v>
      </c>
      <c r="D22" s="293">
        <v>44286</v>
      </c>
      <c r="E22" s="280">
        <v>8695.652173913044</v>
      </c>
      <c r="F22" s="269">
        <f t="shared" si="0"/>
        <v>156521.73913043478</v>
      </c>
      <c r="G22" s="269">
        <v>0</v>
      </c>
      <c r="H22" s="275">
        <f t="shared" si="1"/>
        <v>200000</v>
      </c>
      <c r="I22" s="278">
        <v>86367.695652173948</v>
      </c>
      <c r="J22" s="269">
        <f t="shared" si="10"/>
        <v>1554618.5217391304</v>
      </c>
      <c r="K22" s="270">
        <v>52554</v>
      </c>
      <c r="L22" s="275">
        <f t="shared" si="2"/>
        <v>531718</v>
      </c>
      <c r="M22" s="278">
        <v>1400.3913043478265</v>
      </c>
      <c r="N22" s="270">
        <f t="shared" si="3"/>
        <v>25207.043478260883</v>
      </c>
      <c r="O22" s="270">
        <v>721</v>
      </c>
      <c r="P22" s="279">
        <f t="shared" si="4"/>
        <v>19884</v>
      </c>
      <c r="Q22" s="278">
        <f t="shared" si="5"/>
        <v>96463.739130434813</v>
      </c>
      <c r="R22" s="270">
        <f t="shared" si="6"/>
        <v>1736347.3043478266</v>
      </c>
      <c r="S22" s="270">
        <f t="shared" si="7"/>
        <v>53275</v>
      </c>
      <c r="T22" s="270">
        <f t="shared" si="8"/>
        <v>751602</v>
      </c>
      <c r="U22" s="283">
        <f t="shared" si="9"/>
        <v>43.286386203841992</v>
      </c>
      <c r="V22" s="351">
        <v>1.6</v>
      </c>
      <c r="W22" s="342">
        <v>0</v>
      </c>
      <c r="X22" s="344">
        <v>0</v>
      </c>
      <c r="Y22" s="342">
        <v>0</v>
      </c>
    </row>
    <row r="23" spans="1:25" x14ac:dyDescent="0.25">
      <c r="A23" s="285">
        <v>5</v>
      </c>
      <c r="B23" s="285">
        <v>3</v>
      </c>
      <c r="C23" s="287">
        <v>44287</v>
      </c>
      <c r="D23" s="293">
        <v>44377</v>
      </c>
      <c r="E23" s="280">
        <v>8695.652173913044</v>
      </c>
      <c r="F23" s="269">
        <f t="shared" si="0"/>
        <v>165217.39130434784</v>
      </c>
      <c r="G23" s="269">
        <v>0</v>
      </c>
      <c r="H23" s="275">
        <f t="shared" si="1"/>
        <v>200000</v>
      </c>
      <c r="I23" s="278">
        <v>86367.695652173948</v>
      </c>
      <c r="J23" s="269">
        <f t="shared" si="10"/>
        <v>1640986.2173913042</v>
      </c>
      <c r="K23" s="270">
        <v>71690</v>
      </c>
      <c r="L23" s="275">
        <f t="shared" si="2"/>
        <v>603408</v>
      </c>
      <c r="M23" s="278">
        <v>1400.3913043478265</v>
      </c>
      <c r="N23" s="270">
        <f t="shared" si="3"/>
        <v>26607.434782608711</v>
      </c>
      <c r="O23" s="270">
        <v>2529</v>
      </c>
      <c r="P23" s="279">
        <f t="shared" si="4"/>
        <v>22413</v>
      </c>
      <c r="Q23" s="278">
        <f t="shared" si="5"/>
        <v>96463.739130434813</v>
      </c>
      <c r="R23" s="270">
        <f t="shared" si="6"/>
        <v>1832811.0434782614</v>
      </c>
      <c r="S23" s="270">
        <f t="shared" si="7"/>
        <v>74219</v>
      </c>
      <c r="T23" s="270">
        <f t="shared" si="8"/>
        <v>825821</v>
      </c>
      <c r="U23" s="283">
        <f t="shared" si="9"/>
        <v>45.057618074625857</v>
      </c>
      <c r="V23" s="351">
        <v>1.6</v>
      </c>
      <c r="W23" s="342">
        <v>0</v>
      </c>
      <c r="X23" s="344">
        <v>0</v>
      </c>
      <c r="Y23" s="342">
        <v>0</v>
      </c>
    </row>
    <row r="24" spans="1:25" x14ac:dyDescent="0.25">
      <c r="A24" s="285">
        <v>5</v>
      </c>
      <c r="B24" s="285">
        <v>4</v>
      </c>
      <c r="C24" s="287">
        <v>44378</v>
      </c>
      <c r="D24" s="293">
        <v>44469</v>
      </c>
      <c r="E24" s="280">
        <v>8695.652173913044</v>
      </c>
      <c r="F24" s="269">
        <f t="shared" si="0"/>
        <v>173913.04347826089</v>
      </c>
      <c r="G24" s="269">
        <v>0</v>
      </c>
      <c r="H24" s="275">
        <f t="shared" si="1"/>
        <v>200000</v>
      </c>
      <c r="I24" s="278">
        <v>86367.695652173948</v>
      </c>
      <c r="J24" s="269">
        <f t="shared" si="10"/>
        <v>1727353.913043478</v>
      </c>
      <c r="K24" s="270">
        <v>196819</v>
      </c>
      <c r="L24" s="275">
        <f t="shared" si="2"/>
        <v>800227</v>
      </c>
      <c r="M24" s="278">
        <v>1400.3913043478265</v>
      </c>
      <c r="N24" s="270">
        <f t="shared" si="3"/>
        <v>28007.826086956538</v>
      </c>
      <c r="O24" s="270">
        <v>0</v>
      </c>
      <c r="P24" s="279">
        <f t="shared" si="4"/>
        <v>22413</v>
      </c>
      <c r="Q24" s="278">
        <f t="shared" si="5"/>
        <v>96463.739130434813</v>
      </c>
      <c r="R24" s="270">
        <f t="shared" si="6"/>
        <v>1929274.7826086963</v>
      </c>
      <c r="S24" s="270">
        <f t="shared" si="7"/>
        <v>196819</v>
      </c>
      <c r="T24" s="270">
        <f t="shared" si="8"/>
        <v>1022640</v>
      </c>
      <c r="U24" s="283">
        <f t="shared" si="9"/>
        <v>53.006446215879258</v>
      </c>
      <c r="V24" s="351">
        <v>1.6</v>
      </c>
      <c r="W24" s="342">
        <v>1</v>
      </c>
      <c r="X24" s="344">
        <v>0</v>
      </c>
      <c r="Y24" s="342">
        <v>0</v>
      </c>
    </row>
    <row r="25" spans="1:25" x14ac:dyDescent="0.25">
      <c r="A25" s="285">
        <v>6</v>
      </c>
      <c r="B25" s="285">
        <v>1</v>
      </c>
      <c r="C25" s="287">
        <v>44470</v>
      </c>
      <c r="D25" s="293">
        <v>44561</v>
      </c>
      <c r="E25" s="280">
        <v>8695.652173913044</v>
      </c>
      <c r="F25" s="269">
        <f t="shared" si="0"/>
        <v>182608.69565217395</v>
      </c>
      <c r="G25" s="269">
        <v>0</v>
      </c>
      <c r="H25" s="275">
        <f t="shared" si="1"/>
        <v>200000</v>
      </c>
      <c r="I25" s="278">
        <v>86367.695652173948</v>
      </c>
      <c r="J25" s="269">
        <f t="shared" si="10"/>
        <v>1813721.6086956519</v>
      </c>
      <c r="K25" s="270">
        <v>301620</v>
      </c>
      <c r="L25" s="275">
        <f t="shared" si="2"/>
        <v>1101847</v>
      </c>
      <c r="M25" s="278">
        <v>1400.3913043478265</v>
      </c>
      <c r="N25" s="270">
        <f t="shared" si="3"/>
        <v>29408.217391304366</v>
      </c>
      <c r="O25" s="270">
        <v>1646</v>
      </c>
      <c r="P25" s="279">
        <f t="shared" si="4"/>
        <v>24059</v>
      </c>
      <c r="Q25" s="278">
        <f t="shared" si="5"/>
        <v>96463.739130434813</v>
      </c>
      <c r="R25" s="270">
        <f t="shared" si="6"/>
        <v>2025738.5217391311</v>
      </c>
      <c r="S25" s="270">
        <f t="shared" si="7"/>
        <v>303266</v>
      </c>
      <c r="T25" s="270">
        <f t="shared" si="8"/>
        <v>1325906</v>
      </c>
      <c r="U25" s="283">
        <f t="shared" si="9"/>
        <v>65.452968671479226</v>
      </c>
      <c r="V25" s="351">
        <v>1.6</v>
      </c>
      <c r="W25" s="342">
        <v>10</v>
      </c>
      <c r="X25" s="344">
        <v>0</v>
      </c>
      <c r="Y25" s="342">
        <v>0</v>
      </c>
    </row>
    <row r="26" spans="1:25" x14ac:dyDescent="0.25">
      <c r="A26" s="285">
        <v>6</v>
      </c>
      <c r="B26" s="285">
        <v>2</v>
      </c>
      <c r="C26" s="287">
        <v>44562</v>
      </c>
      <c r="D26" s="293">
        <v>44651</v>
      </c>
      <c r="E26" s="280">
        <v>8695.652173913044</v>
      </c>
      <c r="F26" s="269">
        <f t="shared" si="0"/>
        <v>191304.347826087</v>
      </c>
      <c r="G26" s="269">
        <v>0</v>
      </c>
      <c r="H26" s="275">
        <f t="shared" si="1"/>
        <v>200000</v>
      </c>
      <c r="I26" s="278">
        <v>86367.695652173948</v>
      </c>
      <c r="J26" s="269">
        <f t="shared" si="10"/>
        <v>1900089.3043478257</v>
      </c>
      <c r="K26" s="270">
        <v>555352</v>
      </c>
      <c r="L26" s="275">
        <f t="shared" si="2"/>
        <v>1657199</v>
      </c>
      <c r="M26" s="278">
        <v>1400.3913043478265</v>
      </c>
      <c r="N26" s="270">
        <f t="shared" si="3"/>
        <v>30808.608695652194</v>
      </c>
      <c r="O26" s="270">
        <v>3352</v>
      </c>
      <c r="P26" s="279">
        <f t="shared" si="4"/>
        <v>27411</v>
      </c>
      <c r="Q26" s="278">
        <f t="shared" si="5"/>
        <v>96463.739130434813</v>
      </c>
      <c r="R26" s="270">
        <f t="shared" si="6"/>
        <v>2122202.2608695659</v>
      </c>
      <c r="S26" s="270">
        <f t="shared" si="7"/>
        <v>558704</v>
      </c>
      <c r="T26" s="270">
        <f t="shared" si="8"/>
        <v>1884610</v>
      </c>
      <c r="U26" s="283">
        <f t="shared" si="9"/>
        <v>88.804447848801502</v>
      </c>
      <c r="V26" s="351">
        <v>1.6</v>
      </c>
      <c r="W26" s="342">
        <v>0</v>
      </c>
      <c r="X26" s="344">
        <v>0</v>
      </c>
      <c r="Y26" s="342">
        <v>0</v>
      </c>
    </row>
    <row r="27" spans="1:25" x14ac:dyDescent="0.25">
      <c r="A27" s="285">
        <v>6</v>
      </c>
      <c r="B27" s="285">
        <v>3</v>
      </c>
      <c r="C27" s="287">
        <v>44652</v>
      </c>
      <c r="D27" s="293">
        <v>44742</v>
      </c>
      <c r="E27" s="280">
        <v>8695.652173913044</v>
      </c>
      <c r="F27" s="269">
        <f t="shared" si="0"/>
        <v>200000.00000000006</v>
      </c>
      <c r="G27" s="269">
        <v>0</v>
      </c>
      <c r="H27" s="275">
        <f t="shared" si="1"/>
        <v>200000</v>
      </c>
      <c r="I27" s="278">
        <v>86367.695652173948</v>
      </c>
      <c r="J27" s="269">
        <f t="shared" si="10"/>
        <v>1986456.9999999995</v>
      </c>
      <c r="K27" s="270">
        <v>0</v>
      </c>
      <c r="L27" s="275">
        <f t="shared" si="2"/>
        <v>1657199</v>
      </c>
      <c r="M27" s="278">
        <v>1400.3913043478265</v>
      </c>
      <c r="N27" s="270">
        <f t="shared" si="3"/>
        <v>32209.000000000022</v>
      </c>
      <c r="O27" s="270">
        <v>0</v>
      </c>
      <c r="P27" s="279">
        <f t="shared" si="4"/>
        <v>27411</v>
      </c>
      <c r="Q27" s="278">
        <f t="shared" si="5"/>
        <v>96463.739130434813</v>
      </c>
      <c r="R27" s="270">
        <f t="shared" si="6"/>
        <v>2218666.0000000009</v>
      </c>
      <c r="S27" s="270">
        <f t="shared" si="7"/>
        <v>0</v>
      </c>
      <c r="T27" s="270">
        <f t="shared" si="8"/>
        <v>1884610</v>
      </c>
      <c r="U27" s="283">
        <f t="shared" si="9"/>
        <v>84.943384898853608</v>
      </c>
      <c r="V27" s="351">
        <v>1.6</v>
      </c>
      <c r="W27" s="342">
        <v>56</v>
      </c>
      <c r="X27" s="344">
        <v>0</v>
      </c>
      <c r="Y27" s="342">
        <v>0</v>
      </c>
    </row>
    <row r="28" spans="1:25" x14ac:dyDescent="0.25">
      <c r="A28" s="285">
        <v>6</v>
      </c>
      <c r="B28" s="285">
        <v>4</v>
      </c>
      <c r="C28" s="287">
        <v>44743</v>
      </c>
      <c r="D28" s="293">
        <v>44834</v>
      </c>
      <c r="E28" s="280"/>
      <c r="F28" s="269">
        <f t="shared" si="0"/>
        <v>200000.00000000006</v>
      </c>
      <c r="G28" s="269"/>
      <c r="H28" s="275">
        <f t="shared" si="1"/>
        <v>200000</v>
      </c>
      <c r="I28" s="278"/>
      <c r="J28" s="269">
        <f>SUM(J27+I28)</f>
        <v>1986456.9999999995</v>
      </c>
      <c r="K28" s="270">
        <v>314791</v>
      </c>
      <c r="L28" s="275">
        <f t="shared" si="2"/>
        <v>1971990</v>
      </c>
      <c r="M28" s="278"/>
      <c r="N28" s="270">
        <f t="shared" si="3"/>
        <v>32209.000000000022</v>
      </c>
      <c r="O28" s="270">
        <v>4798</v>
      </c>
      <c r="P28" s="279">
        <f t="shared" si="4"/>
        <v>32209</v>
      </c>
      <c r="Q28" s="278">
        <f t="shared" si="5"/>
        <v>0</v>
      </c>
      <c r="R28" s="270">
        <f t="shared" si="6"/>
        <v>2218666.0000000009</v>
      </c>
      <c r="S28" s="270">
        <f t="shared" si="7"/>
        <v>319589</v>
      </c>
      <c r="T28" s="270">
        <f t="shared" si="8"/>
        <v>2204199</v>
      </c>
      <c r="U28" s="283">
        <f t="shared" si="9"/>
        <v>99.347941510799686</v>
      </c>
      <c r="V28" s="351"/>
      <c r="W28" s="342"/>
      <c r="X28" s="344"/>
      <c r="Y28" s="342"/>
    </row>
    <row r="29" spans="1:25" x14ac:dyDescent="0.25">
      <c r="A29" s="285">
        <v>7</v>
      </c>
      <c r="B29" s="285">
        <v>1</v>
      </c>
      <c r="C29" s="287">
        <v>44835</v>
      </c>
      <c r="D29" s="293">
        <v>44926</v>
      </c>
      <c r="E29" s="280"/>
      <c r="F29" s="269"/>
      <c r="G29" s="269"/>
      <c r="H29" s="275"/>
      <c r="I29" s="278"/>
      <c r="J29" s="269"/>
      <c r="K29" s="270"/>
      <c r="L29" s="275"/>
      <c r="M29" s="278"/>
      <c r="N29" s="270"/>
      <c r="O29" s="270"/>
      <c r="P29" s="279"/>
      <c r="Q29" s="278"/>
      <c r="R29" s="270"/>
      <c r="S29" s="270"/>
      <c r="T29" s="270"/>
      <c r="U29" s="283"/>
      <c r="V29" s="345"/>
      <c r="W29" s="345"/>
      <c r="X29" s="345"/>
      <c r="Y29" s="342"/>
    </row>
    <row r="30" spans="1:25" x14ac:dyDescent="0.25">
      <c r="A30" s="285">
        <v>7</v>
      </c>
      <c r="B30" s="285">
        <v>2</v>
      </c>
      <c r="C30" s="287">
        <v>44927</v>
      </c>
      <c r="D30" s="293">
        <v>45016</v>
      </c>
      <c r="E30" s="280"/>
      <c r="F30" s="269"/>
      <c r="G30" s="269"/>
      <c r="H30" s="275"/>
      <c r="I30" s="278"/>
      <c r="J30" s="269"/>
      <c r="K30" s="270"/>
      <c r="L30" s="275"/>
      <c r="M30" s="278"/>
      <c r="N30" s="270"/>
      <c r="O30" s="270"/>
      <c r="P30" s="279"/>
      <c r="Q30" s="278"/>
      <c r="R30" s="270"/>
      <c r="S30" s="270"/>
      <c r="T30" s="270"/>
      <c r="U30" s="283"/>
      <c r="V30" s="345"/>
      <c r="W30" s="345"/>
      <c r="X30" s="345"/>
      <c r="Y30" s="345"/>
    </row>
    <row r="31" spans="1:25" ht="15.75" thickBot="1" x14ac:dyDescent="0.3">
      <c r="A31" s="290"/>
      <c r="B31" s="290"/>
      <c r="C31" s="291"/>
      <c r="D31" s="294"/>
      <c r="E31" s="86">
        <f>200000</f>
        <v>200000</v>
      </c>
      <c r="F31" s="48" t="s">
        <v>71</v>
      </c>
      <c r="G31" s="48" t="s">
        <v>19</v>
      </c>
      <c r="H31" s="49">
        <f>SUM(E31-H28)</f>
        <v>0</v>
      </c>
      <c r="I31" s="86">
        <v>1971990</v>
      </c>
      <c r="J31" s="48" t="s">
        <v>71</v>
      </c>
      <c r="K31" s="48" t="s">
        <v>19</v>
      </c>
      <c r="L31" s="49">
        <f>SUM(I31-L28)</f>
        <v>0</v>
      </c>
      <c r="M31" s="86">
        <f>SUM(M5:M28)</f>
        <v>32209.000000000022</v>
      </c>
      <c r="N31" s="48" t="s">
        <v>71</v>
      </c>
      <c r="O31" s="48" t="s">
        <v>19</v>
      </c>
      <c r="P31" s="49">
        <f>SUM(M31-P28)</f>
        <v>2.1827872842550278E-11</v>
      </c>
      <c r="Q31" s="86">
        <f>SUM(Q5:Q28)</f>
        <v>2218666.0000000009</v>
      </c>
      <c r="R31" s="48" t="s">
        <v>71</v>
      </c>
      <c r="S31" s="48" t="s">
        <v>19</v>
      </c>
      <c r="T31" s="62">
        <f>SUM(Q31-T28)</f>
        <v>14467.000000000931</v>
      </c>
      <c r="U31" s="63"/>
      <c r="V31" s="345">
        <f>SUM(V5:V30)</f>
        <v>32.000000000000007</v>
      </c>
      <c r="W31" s="345">
        <f t="shared" ref="W31" si="11">SUM(W5:W30)</f>
        <v>67</v>
      </c>
      <c r="X31" s="345">
        <f t="shared" ref="X31" si="12">SUM(X5:X30)</f>
        <v>1</v>
      </c>
      <c r="Y31" s="345">
        <f t="shared" ref="Y31" si="13">SUM(Y5:Y30)</f>
        <v>1</v>
      </c>
    </row>
    <row r="32" spans="1:25" ht="15.75" thickTop="1" x14ac:dyDescent="0.25">
      <c r="A32" s="19"/>
      <c r="B32" s="19"/>
      <c r="C32" s="8"/>
      <c r="D32" s="8"/>
      <c r="E32" s="8"/>
      <c r="F32" s="8"/>
      <c r="G32" s="8"/>
      <c r="H32" s="8"/>
      <c r="I32" s="89"/>
      <c r="J32" s="8"/>
      <c r="K32" s="8"/>
      <c r="L32" s="8"/>
      <c r="M32" s="89"/>
      <c r="N32" s="8"/>
      <c r="O32" s="8"/>
      <c r="P32" s="8"/>
      <c r="Q32" s="14"/>
      <c r="R32" s="14"/>
      <c r="S32" s="14"/>
      <c r="T32" s="14"/>
      <c r="U32" s="17"/>
    </row>
    <row r="33" spans="3:4" x14ac:dyDescent="0.25">
      <c r="C33" s="18" t="s">
        <v>159</v>
      </c>
      <c r="D33" s="377">
        <v>44742</v>
      </c>
    </row>
    <row r="34" spans="3:4" x14ac:dyDescent="0.25">
      <c r="C34" t="s">
        <v>163</v>
      </c>
    </row>
  </sheetData>
  <mergeCells count="6">
    <mergeCell ref="Q2:T2"/>
    <mergeCell ref="A1:P1"/>
    <mergeCell ref="A2:D2"/>
    <mergeCell ref="E2:H2"/>
    <mergeCell ref="I2:L2"/>
    <mergeCell ref="M2:P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D4F5E-316C-45D5-A570-1D0DE1322015}">
  <dimension ref="A1:Y33"/>
  <sheetViews>
    <sheetView zoomScale="80" zoomScaleNormal="80" workbookViewId="0">
      <selection activeCell="T31" sqref="T31"/>
    </sheetView>
  </sheetViews>
  <sheetFormatPr defaultRowHeight="15" x14ac:dyDescent="0.25"/>
  <cols>
    <col min="1" max="1" width="1.85546875" customWidth="1"/>
    <col min="2" max="2" width="2" customWidth="1"/>
    <col min="4" max="4" width="9.42578125" bestFit="1" customWidth="1"/>
    <col min="5" max="5" width="11" bestFit="1" customWidth="1"/>
    <col min="9" max="9" width="14.5703125" bestFit="1" customWidth="1"/>
    <col min="10" max="10" width="9.85546875" bestFit="1" customWidth="1"/>
    <col min="12" max="12" width="9.85546875" bestFit="1" customWidth="1"/>
    <col min="13" max="13" width="11.28515625" bestFit="1" customWidth="1"/>
    <col min="16" max="16" width="10.7109375" bestFit="1" customWidth="1"/>
    <col min="17" max="17" width="11.140625" bestFit="1" customWidth="1"/>
    <col min="18" max="18" width="12.5703125" bestFit="1" customWidth="1"/>
    <col min="20" max="20" width="9.85546875" bestFit="1" customWidth="1"/>
    <col min="22" max="22" width="12.85546875" customWidth="1"/>
    <col min="23" max="23" width="12.28515625" customWidth="1"/>
    <col min="24" max="24" width="12.85546875" customWidth="1"/>
    <col min="25" max="25" width="12.28515625" customWidth="1"/>
  </cols>
  <sheetData>
    <row r="1" spans="1:25" ht="15.75" thickBot="1" x14ac:dyDescent="0.3">
      <c r="A1" s="395" t="s">
        <v>107</v>
      </c>
      <c r="B1" s="395"/>
      <c r="C1" s="395"/>
      <c r="D1" s="395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396"/>
      <c r="R1" s="396"/>
      <c r="S1" s="396"/>
      <c r="T1" s="396"/>
      <c r="U1" s="396"/>
      <c r="V1" s="347"/>
      <c r="W1" s="347"/>
      <c r="X1" s="347"/>
      <c r="Y1" s="347"/>
    </row>
    <row r="2" spans="1:25" ht="15.75" thickTop="1" x14ac:dyDescent="0.25">
      <c r="A2" s="414" t="s">
        <v>30</v>
      </c>
      <c r="B2" s="414"/>
      <c r="C2" s="414"/>
      <c r="D2" s="415"/>
      <c r="E2" s="416" t="s">
        <v>73</v>
      </c>
      <c r="F2" s="417"/>
      <c r="G2" s="417"/>
      <c r="H2" s="418"/>
      <c r="I2" s="416" t="s">
        <v>74</v>
      </c>
      <c r="J2" s="417"/>
      <c r="K2" s="417"/>
      <c r="L2" s="418"/>
      <c r="M2" s="416" t="s">
        <v>34</v>
      </c>
      <c r="N2" s="417"/>
      <c r="O2" s="417"/>
      <c r="P2" s="418"/>
      <c r="Q2" s="416" t="s">
        <v>35</v>
      </c>
      <c r="R2" s="417"/>
      <c r="S2" s="417"/>
      <c r="T2" s="417"/>
      <c r="U2" s="112"/>
      <c r="V2" s="348"/>
      <c r="W2" s="348"/>
      <c r="X2" s="348"/>
      <c r="Y2" s="348"/>
    </row>
    <row r="3" spans="1:25" ht="84" x14ac:dyDescent="0.25">
      <c r="A3" s="77" t="s">
        <v>46</v>
      </c>
      <c r="B3" s="77" t="s">
        <v>47</v>
      </c>
      <c r="C3" s="77" t="s">
        <v>39</v>
      </c>
      <c r="D3" s="82" t="s">
        <v>40</v>
      </c>
      <c r="E3" s="42" t="s">
        <v>75</v>
      </c>
      <c r="F3" s="1" t="s">
        <v>76</v>
      </c>
      <c r="G3" s="1" t="s">
        <v>77</v>
      </c>
      <c r="H3" s="43" t="s">
        <v>78</v>
      </c>
      <c r="I3" s="50" t="s">
        <v>75</v>
      </c>
      <c r="J3" s="16" t="s">
        <v>76</v>
      </c>
      <c r="K3" s="16" t="s">
        <v>77</v>
      </c>
      <c r="L3" s="51" t="s">
        <v>78</v>
      </c>
      <c r="M3" s="50" t="s">
        <v>75</v>
      </c>
      <c r="N3" s="16" t="s">
        <v>76</v>
      </c>
      <c r="O3" s="16" t="s">
        <v>77</v>
      </c>
      <c r="P3" s="51" t="s">
        <v>78</v>
      </c>
      <c r="Q3" s="50" t="s">
        <v>75</v>
      </c>
      <c r="R3" s="16" t="s">
        <v>76</v>
      </c>
      <c r="S3" s="16" t="s">
        <v>77</v>
      </c>
      <c r="T3" s="16" t="s">
        <v>78</v>
      </c>
      <c r="U3" s="58" t="s">
        <v>91</v>
      </c>
      <c r="V3" s="349" t="s">
        <v>143</v>
      </c>
      <c r="W3" s="350" t="s">
        <v>144</v>
      </c>
      <c r="X3" s="349" t="s">
        <v>145</v>
      </c>
      <c r="Y3" s="350" t="s">
        <v>146</v>
      </c>
    </row>
    <row r="4" spans="1:25" ht="84" x14ac:dyDescent="0.25">
      <c r="A4" s="77" t="s">
        <v>48</v>
      </c>
      <c r="B4" s="77" t="s">
        <v>49</v>
      </c>
      <c r="C4" s="78" t="s">
        <v>50</v>
      </c>
      <c r="D4" s="83" t="s">
        <v>51</v>
      </c>
      <c r="E4" s="87" t="s">
        <v>52</v>
      </c>
      <c r="F4" s="2" t="s">
        <v>53</v>
      </c>
      <c r="G4" s="2" t="s">
        <v>54</v>
      </c>
      <c r="H4" s="45" t="s">
        <v>55</v>
      </c>
      <c r="I4" s="59" t="s">
        <v>60</v>
      </c>
      <c r="J4" s="3" t="s">
        <v>61</v>
      </c>
      <c r="K4" s="3" t="s">
        <v>62</v>
      </c>
      <c r="L4" s="45" t="s">
        <v>63</v>
      </c>
      <c r="M4" s="87" t="s">
        <v>102</v>
      </c>
      <c r="N4" s="3" t="s">
        <v>103</v>
      </c>
      <c r="O4" s="2" t="s">
        <v>104</v>
      </c>
      <c r="P4" s="53" t="s">
        <v>105</v>
      </c>
      <c r="Q4" s="59" t="s">
        <v>106</v>
      </c>
      <c r="R4" s="3" t="s">
        <v>108</v>
      </c>
      <c r="S4" s="3" t="s">
        <v>109</v>
      </c>
      <c r="T4" s="3" t="s">
        <v>110</v>
      </c>
      <c r="U4" s="60" t="s">
        <v>111</v>
      </c>
      <c r="V4" s="344"/>
      <c r="W4" s="342"/>
      <c r="X4" s="344"/>
      <c r="Y4" s="342"/>
    </row>
    <row r="5" spans="1:25" x14ac:dyDescent="0.25">
      <c r="A5" s="77">
        <v>1</v>
      </c>
      <c r="B5" s="77">
        <v>1</v>
      </c>
      <c r="C5" s="78">
        <v>42644</v>
      </c>
      <c r="D5" s="83">
        <v>42735</v>
      </c>
      <c r="E5" s="87">
        <v>9782.608695652174</v>
      </c>
      <c r="F5" s="2">
        <f>SUM(0+ E5)</f>
        <v>9782.608695652174</v>
      </c>
      <c r="G5" s="2">
        <v>0</v>
      </c>
      <c r="H5" s="45">
        <f>SUM(0+ G5)</f>
        <v>0</v>
      </c>
      <c r="I5" s="59">
        <v>153955.17391304349</v>
      </c>
      <c r="J5" s="3">
        <f>I5</f>
        <v>153955.17391304349</v>
      </c>
      <c r="K5" s="3">
        <v>0</v>
      </c>
      <c r="L5" s="45">
        <f>SUM(0+ K5)</f>
        <v>0</v>
      </c>
      <c r="M5" s="87">
        <v>2940.521739130435</v>
      </c>
      <c r="N5" s="3">
        <f>M5</f>
        <v>2940.521739130435</v>
      </c>
      <c r="O5" s="2">
        <v>0</v>
      </c>
      <c r="P5" s="53">
        <v>0</v>
      </c>
      <c r="Q5" s="59">
        <v>153307.16666666666</v>
      </c>
      <c r="R5" s="3">
        <f>SUM(0+ Q5)</f>
        <v>153307.16666666666</v>
      </c>
      <c r="S5" s="3">
        <f>SUM(G5+K5+O5)</f>
        <v>0</v>
      </c>
      <c r="T5" s="3">
        <f>SUM(0+ S5)</f>
        <v>0</v>
      </c>
      <c r="U5" s="60">
        <f t="shared" ref="U5:U28" si="0">SUM(T5/R5)*100</f>
        <v>0</v>
      </c>
      <c r="V5" s="344">
        <v>0</v>
      </c>
      <c r="W5" s="342">
        <v>0</v>
      </c>
      <c r="X5" s="344">
        <v>0</v>
      </c>
      <c r="Y5" s="342">
        <v>0</v>
      </c>
    </row>
    <row r="6" spans="1:25" x14ac:dyDescent="0.25">
      <c r="A6" s="77">
        <v>1</v>
      </c>
      <c r="B6" s="77">
        <v>2</v>
      </c>
      <c r="C6" s="78">
        <v>42736</v>
      </c>
      <c r="D6" s="83">
        <v>42825</v>
      </c>
      <c r="E6" s="87">
        <v>9782.608695652174</v>
      </c>
      <c r="F6" s="2">
        <f t="shared" ref="F6:F24" si="1">SUM(F5+E6)</f>
        <v>19565.217391304348</v>
      </c>
      <c r="G6" s="2">
        <v>0</v>
      </c>
      <c r="H6" s="45">
        <f t="shared" ref="H6:H24" si="2">SUM(H5+G6)</f>
        <v>0</v>
      </c>
      <c r="I6" s="59">
        <v>153955.17391304349</v>
      </c>
      <c r="J6" s="3">
        <f>SUM(J5+I6)</f>
        <v>307910.34782608697</v>
      </c>
      <c r="K6" s="3">
        <v>0</v>
      </c>
      <c r="L6" s="45">
        <f t="shared" ref="L6:L27" si="3">SUM(L5+K6)</f>
        <v>0</v>
      </c>
      <c r="M6" s="87">
        <v>2940.521739130435</v>
      </c>
      <c r="N6" s="3">
        <f>SUM(N5+M6)</f>
        <v>5881.04347826087</v>
      </c>
      <c r="O6" s="3">
        <v>0</v>
      </c>
      <c r="P6" s="53">
        <f t="shared" ref="P6:P25" si="4">SUM(P5+O6)</f>
        <v>0</v>
      </c>
      <c r="Q6" s="59">
        <v>153307.16666666666</v>
      </c>
      <c r="R6" s="3">
        <f t="shared" ref="R6:R25" si="5">SUM(R5+Q6)</f>
        <v>306614.33333333331</v>
      </c>
      <c r="S6" s="3">
        <f t="shared" ref="S6:S28" si="6">SUM(G6+K6+O6)</f>
        <v>0</v>
      </c>
      <c r="T6" s="3">
        <f t="shared" ref="T6:T27" si="7">SUM(T5+S6)</f>
        <v>0</v>
      </c>
      <c r="U6" s="60">
        <f t="shared" si="0"/>
        <v>0</v>
      </c>
      <c r="V6" s="344">
        <v>0</v>
      </c>
      <c r="W6" s="342">
        <v>0</v>
      </c>
      <c r="X6" s="344">
        <v>0</v>
      </c>
      <c r="Y6" s="342">
        <v>0</v>
      </c>
    </row>
    <row r="7" spans="1:25" x14ac:dyDescent="0.25">
      <c r="A7" s="77">
        <v>1</v>
      </c>
      <c r="B7" s="77">
        <v>3</v>
      </c>
      <c r="C7" s="78">
        <v>42826</v>
      </c>
      <c r="D7" s="83">
        <v>42916</v>
      </c>
      <c r="E7" s="87">
        <v>9782.608695652174</v>
      </c>
      <c r="F7" s="2">
        <f t="shared" si="1"/>
        <v>29347.82608695652</v>
      </c>
      <c r="G7" s="2">
        <v>0</v>
      </c>
      <c r="H7" s="45">
        <f t="shared" si="2"/>
        <v>0</v>
      </c>
      <c r="I7" s="59">
        <v>153955.17391304349</v>
      </c>
      <c r="J7" s="3">
        <f t="shared" ref="J7:J25" si="8">SUM(J6+I7)</f>
        <v>461865.52173913049</v>
      </c>
      <c r="K7" s="3">
        <v>0</v>
      </c>
      <c r="L7" s="45">
        <f t="shared" si="3"/>
        <v>0</v>
      </c>
      <c r="M7" s="87">
        <v>2940.521739130435</v>
      </c>
      <c r="N7" s="3">
        <f t="shared" ref="N7:N25" si="9">SUM(N6+M7)</f>
        <v>8821.565217391304</v>
      </c>
      <c r="O7" s="3">
        <v>0</v>
      </c>
      <c r="P7" s="53">
        <f t="shared" si="4"/>
        <v>0</v>
      </c>
      <c r="Q7" s="59">
        <v>153307.16666666666</v>
      </c>
      <c r="R7" s="3">
        <f t="shared" si="5"/>
        <v>459921.5</v>
      </c>
      <c r="S7" s="3">
        <f t="shared" si="6"/>
        <v>0</v>
      </c>
      <c r="T7" s="3">
        <f t="shared" si="7"/>
        <v>0</v>
      </c>
      <c r="U7" s="60">
        <f t="shared" si="0"/>
        <v>0</v>
      </c>
      <c r="V7" s="351">
        <v>0</v>
      </c>
      <c r="W7" s="342">
        <v>0</v>
      </c>
      <c r="X7" s="344">
        <v>0</v>
      </c>
      <c r="Y7" s="342">
        <v>0</v>
      </c>
    </row>
    <row r="8" spans="1:25" x14ac:dyDescent="0.25">
      <c r="A8" s="77">
        <v>1</v>
      </c>
      <c r="B8" s="77">
        <v>4</v>
      </c>
      <c r="C8" s="78">
        <v>42917</v>
      </c>
      <c r="D8" s="83">
        <v>43008</v>
      </c>
      <c r="E8" s="87">
        <v>9782.608695652174</v>
      </c>
      <c r="F8" s="2">
        <f t="shared" si="1"/>
        <v>39130.434782608696</v>
      </c>
      <c r="G8" s="2">
        <v>65000</v>
      </c>
      <c r="H8" s="45">
        <f t="shared" si="2"/>
        <v>65000</v>
      </c>
      <c r="I8" s="59">
        <v>153955.17391304349</v>
      </c>
      <c r="J8" s="3">
        <f t="shared" si="8"/>
        <v>615820.69565217395</v>
      </c>
      <c r="K8" s="3">
        <v>92243</v>
      </c>
      <c r="L8" s="45">
        <f t="shared" si="3"/>
        <v>92243</v>
      </c>
      <c r="M8" s="87">
        <v>2940.521739130435</v>
      </c>
      <c r="N8" s="3">
        <f t="shared" si="9"/>
        <v>11762.08695652174</v>
      </c>
      <c r="O8" s="3">
        <v>8901</v>
      </c>
      <c r="P8" s="53">
        <f t="shared" si="4"/>
        <v>8901</v>
      </c>
      <c r="Q8" s="59">
        <v>153307.16666666666</v>
      </c>
      <c r="R8" s="3">
        <f t="shared" si="5"/>
        <v>613228.66666666663</v>
      </c>
      <c r="S8" s="3">
        <f t="shared" si="6"/>
        <v>166144</v>
      </c>
      <c r="T8" s="3">
        <f t="shared" si="7"/>
        <v>166144</v>
      </c>
      <c r="U8" s="60">
        <f t="shared" si="0"/>
        <v>27.093319185991525</v>
      </c>
      <c r="V8" s="351">
        <v>3.95</v>
      </c>
      <c r="W8" s="342">
        <v>0</v>
      </c>
      <c r="X8" s="344">
        <v>0</v>
      </c>
      <c r="Y8" s="342">
        <v>0</v>
      </c>
    </row>
    <row r="9" spans="1:25" x14ac:dyDescent="0.25">
      <c r="A9" s="77">
        <v>2</v>
      </c>
      <c r="B9" s="77">
        <v>1</v>
      </c>
      <c r="C9" s="78">
        <v>43009</v>
      </c>
      <c r="D9" s="83">
        <v>43100</v>
      </c>
      <c r="E9" s="87">
        <v>9782.608695652174</v>
      </c>
      <c r="F9" s="2">
        <f t="shared" si="1"/>
        <v>48913.043478260872</v>
      </c>
      <c r="G9" s="2">
        <v>0</v>
      </c>
      <c r="H9" s="45">
        <f t="shared" si="2"/>
        <v>65000</v>
      </c>
      <c r="I9" s="59">
        <v>153955.17391304349</v>
      </c>
      <c r="J9" s="3">
        <f t="shared" si="8"/>
        <v>769775.86956521741</v>
      </c>
      <c r="K9" s="3">
        <v>20583</v>
      </c>
      <c r="L9" s="45">
        <f t="shared" si="3"/>
        <v>112826</v>
      </c>
      <c r="M9" s="87">
        <v>2940.521739130435</v>
      </c>
      <c r="N9" s="3">
        <f t="shared" si="9"/>
        <v>14702.608695652176</v>
      </c>
      <c r="O9" s="3">
        <v>0</v>
      </c>
      <c r="P9" s="53">
        <f t="shared" si="4"/>
        <v>8901</v>
      </c>
      <c r="Q9" s="59">
        <v>153307.16666666666</v>
      </c>
      <c r="R9" s="3">
        <f t="shared" si="5"/>
        <v>766535.83333333326</v>
      </c>
      <c r="S9" s="3">
        <f t="shared" si="6"/>
        <v>20583</v>
      </c>
      <c r="T9" s="3">
        <f t="shared" si="7"/>
        <v>186727</v>
      </c>
      <c r="U9" s="60">
        <f t="shared" si="0"/>
        <v>24.35985271399576</v>
      </c>
      <c r="V9" s="351">
        <v>3.95</v>
      </c>
      <c r="W9" s="342">
        <v>0</v>
      </c>
      <c r="X9" s="344">
        <v>0</v>
      </c>
      <c r="Y9" s="342">
        <v>0</v>
      </c>
    </row>
    <row r="10" spans="1:25" x14ac:dyDescent="0.25">
      <c r="A10" s="77">
        <v>2</v>
      </c>
      <c r="B10" s="77">
        <v>2</v>
      </c>
      <c r="C10" s="78">
        <v>43101</v>
      </c>
      <c r="D10" s="83">
        <v>43190</v>
      </c>
      <c r="E10" s="87">
        <v>9782.608695652174</v>
      </c>
      <c r="F10" s="2">
        <f t="shared" si="1"/>
        <v>58695.652173913048</v>
      </c>
      <c r="G10" s="2">
        <v>40000</v>
      </c>
      <c r="H10" s="45">
        <f t="shared" si="2"/>
        <v>105000</v>
      </c>
      <c r="I10" s="59">
        <v>153955.17391304349</v>
      </c>
      <c r="J10" s="3">
        <f t="shared" si="8"/>
        <v>923731.04347826086</v>
      </c>
      <c r="K10" s="3">
        <v>27384</v>
      </c>
      <c r="L10" s="45">
        <f t="shared" si="3"/>
        <v>140210</v>
      </c>
      <c r="M10" s="87">
        <v>2940.521739130435</v>
      </c>
      <c r="N10" s="3">
        <f t="shared" si="9"/>
        <v>17643.130434782612</v>
      </c>
      <c r="O10" s="3">
        <v>3455</v>
      </c>
      <c r="P10" s="53">
        <f t="shared" si="4"/>
        <v>12356</v>
      </c>
      <c r="Q10" s="59">
        <v>153307.16666666666</v>
      </c>
      <c r="R10" s="3">
        <f t="shared" si="5"/>
        <v>919842.99999999988</v>
      </c>
      <c r="S10" s="3">
        <f t="shared" si="6"/>
        <v>70839</v>
      </c>
      <c r="T10" s="3">
        <f t="shared" si="7"/>
        <v>257566</v>
      </c>
      <c r="U10" s="60">
        <f t="shared" si="0"/>
        <v>28.001082793476716</v>
      </c>
      <c r="V10" s="351">
        <v>3.95</v>
      </c>
      <c r="W10" s="342">
        <v>0</v>
      </c>
      <c r="X10" s="344">
        <v>0</v>
      </c>
      <c r="Y10" s="342">
        <v>0</v>
      </c>
    </row>
    <row r="11" spans="1:25" x14ac:dyDescent="0.25">
      <c r="A11" s="77">
        <v>2</v>
      </c>
      <c r="B11" s="77">
        <v>3</v>
      </c>
      <c r="C11" s="78">
        <v>43191</v>
      </c>
      <c r="D11" s="83">
        <v>43281</v>
      </c>
      <c r="E11" s="87">
        <v>9782.608695652174</v>
      </c>
      <c r="F11" s="2">
        <f t="shared" si="1"/>
        <v>68478.260869565216</v>
      </c>
      <c r="G11" s="2">
        <v>40000</v>
      </c>
      <c r="H11" s="45">
        <f t="shared" si="2"/>
        <v>145000</v>
      </c>
      <c r="I11" s="59">
        <v>153955.17391304349</v>
      </c>
      <c r="J11" s="3">
        <f t="shared" si="8"/>
        <v>1077686.2173913044</v>
      </c>
      <c r="K11" s="3">
        <v>28290</v>
      </c>
      <c r="L11" s="45">
        <f t="shared" si="3"/>
        <v>168500</v>
      </c>
      <c r="M11" s="87">
        <v>2940.521739130435</v>
      </c>
      <c r="N11" s="3">
        <f t="shared" si="9"/>
        <v>20583.652173913048</v>
      </c>
      <c r="O11" s="3">
        <v>2825</v>
      </c>
      <c r="P11" s="53">
        <f t="shared" si="4"/>
        <v>15181</v>
      </c>
      <c r="Q11" s="59">
        <v>153307.16666666666</v>
      </c>
      <c r="R11" s="3">
        <f t="shared" si="5"/>
        <v>1073150.1666666665</v>
      </c>
      <c r="S11" s="3">
        <f t="shared" si="6"/>
        <v>71115</v>
      </c>
      <c r="T11" s="3">
        <f t="shared" si="7"/>
        <v>328681</v>
      </c>
      <c r="U11" s="60">
        <f t="shared" si="0"/>
        <v>30.627680096339425</v>
      </c>
      <c r="V11" s="351">
        <v>3.95</v>
      </c>
      <c r="W11" s="342">
        <v>0</v>
      </c>
      <c r="X11" s="344">
        <v>0</v>
      </c>
      <c r="Y11" s="342">
        <v>0</v>
      </c>
    </row>
    <row r="12" spans="1:25" x14ac:dyDescent="0.25">
      <c r="A12" s="77">
        <v>2</v>
      </c>
      <c r="B12" s="77">
        <v>4</v>
      </c>
      <c r="C12" s="78">
        <v>43282</v>
      </c>
      <c r="D12" s="83">
        <v>43373</v>
      </c>
      <c r="E12" s="87">
        <v>9782.608695652174</v>
      </c>
      <c r="F12" s="2">
        <f t="shared" si="1"/>
        <v>78260.869565217392</v>
      </c>
      <c r="G12" s="2">
        <v>40000</v>
      </c>
      <c r="H12" s="45">
        <f t="shared" si="2"/>
        <v>185000</v>
      </c>
      <c r="I12" s="59">
        <v>153955.17391304349</v>
      </c>
      <c r="J12" s="3">
        <f t="shared" si="8"/>
        <v>1231641.3913043479</v>
      </c>
      <c r="K12" s="3">
        <v>21337</v>
      </c>
      <c r="L12" s="45">
        <f t="shared" si="3"/>
        <v>189837</v>
      </c>
      <c r="M12" s="87">
        <v>2940.521739130435</v>
      </c>
      <c r="N12" s="3">
        <f t="shared" si="9"/>
        <v>23524.173913043483</v>
      </c>
      <c r="O12" s="3">
        <v>3242</v>
      </c>
      <c r="P12" s="53">
        <f t="shared" si="4"/>
        <v>18423</v>
      </c>
      <c r="Q12" s="59">
        <v>153307.16666666666</v>
      </c>
      <c r="R12" s="3">
        <f t="shared" si="5"/>
        <v>1226457.3333333333</v>
      </c>
      <c r="S12" s="3">
        <f t="shared" si="6"/>
        <v>64579</v>
      </c>
      <c r="T12" s="3">
        <f t="shared" si="7"/>
        <v>393260</v>
      </c>
      <c r="U12" s="60">
        <f t="shared" si="0"/>
        <v>32.06471104308018</v>
      </c>
      <c r="V12" s="351">
        <v>3.95</v>
      </c>
      <c r="W12" s="342">
        <v>0</v>
      </c>
      <c r="X12" s="344">
        <v>0</v>
      </c>
      <c r="Y12" s="342">
        <v>0</v>
      </c>
    </row>
    <row r="13" spans="1:25" x14ac:dyDescent="0.25">
      <c r="A13" s="77">
        <v>3</v>
      </c>
      <c r="B13" s="77">
        <v>1</v>
      </c>
      <c r="C13" s="78">
        <v>43374</v>
      </c>
      <c r="D13" s="83">
        <v>43465</v>
      </c>
      <c r="E13" s="87">
        <v>9782.608695652174</v>
      </c>
      <c r="F13" s="2">
        <f t="shared" si="1"/>
        <v>88043.478260869568</v>
      </c>
      <c r="G13" s="2">
        <v>0</v>
      </c>
      <c r="H13" s="45">
        <f t="shared" si="2"/>
        <v>185000</v>
      </c>
      <c r="I13" s="59">
        <v>153955.17391304349</v>
      </c>
      <c r="J13" s="3">
        <f t="shared" si="8"/>
        <v>1385596.5652173914</v>
      </c>
      <c r="K13" s="3">
        <v>32764</v>
      </c>
      <c r="L13" s="45">
        <f t="shared" si="3"/>
        <v>222601</v>
      </c>
      <c r="M13" s="87">
        <v>2940.521739130435</v>
      </c>
      <c r="N13" s="3">
        <f t="shared" si="9"/>
        <v>26464.695652173919</v>
      </c>
      <c r="O13" s="3">
        <v>2887</v>
      </c>
      <c r="P13" s="53">
        <f t="shared" si="4"/>
        <v>21310</v>
      </c>
      <c r="Q13" s="59">
        <v>153307.16666666666</v>
      </c>
      <c r="R13" s="3">
        <f t="shared" si="5"/>
        <v>1379764.5</v>
      </c>
      <c r="S13" s="3">
        <f t="shared" si="6"/>
        <v>35651</v>
      </c>
      <c r="T13" s="3">
        <f t="shared" si="7"/>
        <v>428911</v>
      </c>
      <c r="U13" s="60">
        <f t="shared" si="0"/>
        <v>31.085812107790861</v>
      </c>
      <c r="V13" s="351">
        <v>3.95</v>
      </c>
      <c r="W13" s="342">
        <v>0</v>
      </c>
      <c r="X13" s="344">
        <v>0</v>
      </c>
      <c r="Y13" s="342">
        <v>0</v>
      </c>
    </row>
    <row r="14" spans="1:25" x14ac:dyDescent="0.25">
      <c r="A14" s="77">
        <v>3</v>
      </c>
      <c r="B14" s="77">
        <v>2</v>
      </c>
      <c r="C14" s="78">
        <v>43466</v>
      </c>
      <c r="D14" s="83">
        <v>43555</v>
      </c>
      <c r="E14" s="87">
        <v>9782.608695652174</v>
      </c>
      <c r="F14" s="2">
        <f t="shared" si="1"/>
        <v>97826.086956521744</v>
      </c>
      <c r="G14" s="2">
        <v>0</v>
      </c>
      <c r="H14" s="45">
        <f t="shared" si="2"/>
        <v>185000</v>
      </c>
      <c r="I14" s="59">
        <v>153955.17391304349</v>
      </c>
      <c r="J14" s="3">
        <f t="shared" si="8"/>
        <v>1539551.7391304348</v>
      </c>
      <c r="K14" s="3">
        <v>131801</v>
      </c>
      <c r="L14" s="45">
        <f t="shared" si="3"/>
        <v>354402</v>
      </c>
      <c r="M14" s="87">
        <v>2940.521739130435</v>
      </c>
      <c r="N14" s="3">
        <f t="shared" si="9"/>
        <v>29405.217391304355</v>
      </c>
      <c r="O14" s="3">
        <v>4515</v>
      </c>
      <c r="P14" s="53">
        <f t="shared" si="4"/>
        <v>25825</v>
      </c>
      <c r="Q14" s="59">
        <v>153307.16666666666</v>
      </c>
      <c r="R14" s="3">
        <f t="shared" si="5"/>
        <v>1533071.6666666667</v>
      </c>
      <c r="S14" s="3">
        <f t="shared" si="6"/>
        <v>136316</v>
      </c>
      <c r="T14" s="3">
        <f t="shared" si="7"/>
        <v>565227</v>
      </c>
      <c r="U14" s="60">
        <f t="shared" si="0"/>
        <v>36.868922196505274</v>
      </c>
      <c r="V14" s="351">
        <v>3.95</v>
      </c>
      <c r="W14" s="342">
        <v>0</v>
      </c>
      <c r="X14" s="344">
        <v>0</v>
      </c>
      <c r="Y14" s="342">
        <v>0</v>
      </c>
    </row>
    <row r="15" spans="1:25" x14ac:dyDescent="0.25">
      <c r="A15" s="77">
        <v>3</v>
      </c>
      <c r="B15" s="77">
        <v>3</v>
      </c>
      <c r="C15" s="78">
        <v>43556</v>
      </c>
      <c r="D15" s="83">
        <v>43646</v>
      </c>
      <c r="E15" s="87">
        <v>9782.608695652174</v>
      </c>
      <c r="F15" s="2">
        <f t="shared" si="1"/>
        <v>107608.69565217392</v>
      </c>
      <c r="G15" s="2">
        <v>0</v>
      </c>
      <c r="H15" s="45">
        <f t="shared" si="2"/>
        <v>185000</v>
      </c>
      <c r="I15" s="59">
        <v>153955.17391304349</v>
      </c>
      <c r="J15" s="3">
        <f t="shared" si="8"/>
        <v>1693506.9130434783</v>
      </c>
      <c r="K15" s="3">
        <v>64464</v>
      </c>
      <c r="L15" s="45">
        <f t="shared" si="3"/>
        <v>418866</v>
      </c>
      <c r="M15" s="87">
        <v>2940.521739130435</v>
      </c>
      <c r="N15" s="3">
        <f t="shared" si="9"/>
        <v>32345.739130434791</v>
      </c>
      <c r="O15" s="3">
        <v>2785</v>
      </c>
      <c r="P15" s="53">
        <f t="shared" si="4"/>
        <v>28610</v>
      </c>
      <c r="Q15" s="59">
        <v>153307.16666666666</v>
      </c>
      <c r="R15" s="3">
        <f t="shared" si="5"/>
        <v>1686378.8333333335</v>
      </c>
      <c r="S15" s="3">
        <f t="shared" si="6"/>
        <v>67249</v>
      </c>
      <c r="T15" s="3">
        <f t="shared" si="7"/>
        <v>632476</v>
      </c>
      <c r="U15" s="60">
        <f t="shared" si="0"/>
        <v>37.50497738102144</v>
      </c>
      <c r="V15" s="351">
        <v>3.95</v>
      </c>
      <c r="W15" s="342">
        <v>0</v>
      </c>
      <c r="X15" s="344">
        <v>0</v>
      </c>
      <c r="Y15" s="342">
        <v>0</v>
      </c>
    </row>
    <row r="16" spans="1:25" x14ac:dyDescent="0.25">
      <c r="A16" s="77">
        <v>3</v>
      </c>
      <c r="B16" s="77">
        <v>4</v>
      </c>
      <c r="C16" s="78">
        <v>43653</v>
      </c>
      <c r="D16" s="83">
        <v>43738</v>
      </c>
      <c r="E16" s="87">
        <v>9782.608695652174</v>
      </c>
      <c r="F16" s="2">
        <f t="shared" si="1"/>
        <v>117391.3043478261</v>
      </c>
      <c r="G16" s="2">
        <v>0</v>
      </c>
      <c r="H16" s="45">
        <f t="shared" si="2"/>
        <v>185000</v>
      </c>
      <c r="I16" s="59">
        <v>153955.17391304349</v>
      </c>
      <c r="J16" s="3">
        <f t="shared" si="8"/>
        <v>1847462.0869565217</v>
      </c>
      <c r="K16" s="3">
        <v>84475</v>
      </c>
      <c r="L16" s="45">
        <f t="shared" si="3"/>
        <v>503341</v>
      </c>
      <c r="M16" s="87">
        <v>2940.521739130435</v>
      </c>
      <c r="N16" s="3">
        <f t="shared" si="9"/>
        <v>35286.260869565223</v>
      </c>
      <c r="O16" s="3">
        <v>3359</v>
      </c>
      <c r="P16" s="53">
        <f t="shared" si="4"/>
        <v>31969</v>
      </c>
      <c r="Q16" s="59">
        <v>153307.16666666666</v>
      </c>
      <c r="R16" s="3">
        <f t="shared" si="5"/>
        <v>1839686.0000000002</v>
      </c>
      <c r="S16" s="3">
        <f t="shared" si="6"/>
        <v>87834</v>
      </c>
      <c r="T16" s="3">
        <f t="shared" si="7"/>
        <v>720310</v>
      </c>
      <c r="U16" s="60">
        <f t="shared" si="0"/>
        <v>39.153964317823799</v>
      </c>
      <c r="V16" s="351">
        <v>3.95</v>
      </c>
      <c r="W16" s="342">
        <v>0</v>
      </c>
      <c r="X16" s="344">
        <v>0</v>
      </c>
      <c r="Y16" s="342">
        <v>0</v>
      </c>
    </row>
    <row r="17" spans="1:25" x14ac:dyDescent="0.25">
      <c r="A17" s="77">
        <v>4</v>
      </c>
      <c r="B17" s="77">
        <v>1</v>
      </c>
      <c r="C17" s="78">
        <v>43739</v>
      </c>
      <c r="D17" s="83">
        <v>43830</v>
      </c>
      <c r="E17" s="87">
        <v>9782.608695652174</v>
      </c>
      <c r="F17" s="2">
        <f t="shared" si="1"/>
        <v>127173.91304347827</v>
      </c>
      <c r="G17" s="2">
        <v>40000</v>
      </c>
      <c r="H17" s="45">
        <f t="shared" si="2"/>
        <v>225000</v>
      </c>
      <c r="I17" s="59">
        <v>153955.17391304349</v>
      </c>
      <c r="J17" s="3">
        <f t="shared" si="8"/>
        <v>2001417.2608695652</v>
      </c>
      <c r="K17" s="3">
        <v>181868</v>
      </c>
      <c r="L17" s="45">
        <f t="shared" si="3"/>
        <v>685209</v>
      </c>
      <c r="M17" s="87">
        <v>2940.521739130435</v>
      </c>
      <c r="N17" s="3">
        <f t="shared" si="9"/>
        <v>38226.782608695656</v>
      </c>
      <c r="O17" s="3">
        <v>5390</v>
      </c>
      <c r="P17" s="53">
        <f t="shared" si="4"/>
        <v>37359</v>
      </c>
      <c r="Q17" s="59">
        <v>153307.16666666666</v>
      </c>
      <c r="R17" s="3">
        <f t="shared" si="5"/>
        <v>1992993.166666667</v>
      </c>
      <c r="S17" s="3">
        <f t="shared" si="6"/>
        <v>227258</v>
      </c>
      <c r="T17" s="3">
        <f t="shared" si="7"/>
        <v>947568</v>
      </c>
      <c r="U17" s="60">
        <f t="shared" si="0"/>
        <v>47.544969839752746</v>
      </c>
      <c r="V17" s="351">
        <v>3.95</v>
      </c>
      <c r="W17" s="342">
        <v>0</v>
      </c>
      <c r="X17" s="344">
        <v>0</v>
      </c>
      <c r="Y17" s="342">
        <v>1</v>
      </c>
    </row>
    <row r="18" spans="1:25" x14ac:dyDescent="0.25">
      <c r="A18" s="77">
        <v>4</v>
      </c>
      <c r="B18" s="77">
        <v>2</v>
      </c>
      <c r="C18" s="78">
        <v>43831</v>
      </c>
      <c r="D18" s="83">
        <v>43921</v>
      </c>
      <c r="E18" s="87">
        <v>9782.608695652174</v>
      </c>
      <c r="F18" s="2">
        <f t="shared" si="1"/>
        <v>136956.52173913043</v>
      </c>
      <c r="G18" s="2">
        <v>0</v>
      </c>
      <c r="H18" s="45">
        <f t="shared" si="2"/>
        <v>225000</v>
      </c>
      <c r="I18" s="59">
        <v>153955.17391304349</v>
      </c>
      <c r="J18" s="3">
        <f t="shared" si="8"/>
        <v>2155372.4347826089</v>
      </c>
      <c r="K18" s="3">
        <v>69981</v>
      </c>
      <c r="L18" s="45">
        <f t="shared" si="3"/>
        <v>755190</v>
      </c>
      <c r="M18" s="87">
        <v>2940.521739130435</v>
      </c>
      <c r="N18" s="3">
        <f t="shared" si="9"/>
        <v>41167.304347826088</v>
      </c>
      <c r="O18" s="3">
        <v>0</v>
      </c>
      <c r="P18" s="53">
        <f t="shared" si="4"/>
        <v>37359</v>
      </c>
      <c r="Q18" s="59">
        <v>153307.16666666666</v>
      </c>
      <c r="R18" s="3">
        <f t="shared" si="5"/>
        <v>2146300.3333333335</v>
      </c>
      <c r="S18" s="3">
        <f t="shared" si="6"/>
        <v>69981</v>
      </c>
      <c r="T18" s="3">
        <f t="shared" si="7"/>
        <v>1017549</v>
      </c>
      <c r="U18" s="60">
        <f t="shared" si="0"/>
        <v>47.409441455925474</v>
      </c>
      <c r="V18" s="351">
        <v>3.95</v>
      </c>
      <c r="W18" s="342">
        <v>0</v>
      </c>
      <c r="X18" s="344">
        <v>1</v>
      </c>
      <c r="Y18" s="342">
        <v>0</v>
      </c>
    </row>
    <row r="19" spans="1:25" x14ac:dyDescent="0.25">
      <c r="A19" s="77">
        <v>4</v>
      </c>
      <c r="B19" s="77">
        <v>3</v>
      </c>
      <c r="C19" s="78">
        <v>43922</v>
      </c>
      <c r="D19" s="83">
        <v>44012</v>
      </c>
      <c r="E19" s="87">
        <v>9782.608695652174</v>
      </c>
      <c r="F19" s="2">
        <f t="shared" si="1"/>
        <v>146739.13043478259</v>
      </c>
      <c r="G19" s="2">
        <v>0</v>
      </c>
      <c r="H19" s="45">
        <f t="shared" si="2"/>
        <v>225000</v>
      </c>
      <c r="I19" s="59">
        <v>153955.17391304349</v>
      </c>
      <c r="J19" s="3">
        <f t="shared" si="8"/>
        <v>2309327.6086956523</v>
      </c>
      <c r="K19" s="3">
        <v>68075</v>
      </c>
      <c r="L19" s="45">
        <f t="shared" si="3"/>
        <v>823265</v>
      </c>
      <c r="M19" s="87">
        <v>2940.521739130435</v>
      </c>
      <c r="N19" s="3">
        <f t="shared" si="9"/>
        <v>44107.82608695652</v>
      </c>
      <c r="O19" s="3">
        <v>3721</v>
      </c>
      <c r="P19" s="53">
        <f t="shared" si="4"/>
        <v>41080</v>
      </c>
      <c r="Q19" s="59">
        <v>153307.16666666666</v>
      </c>
      <c r="R19" s="3">
        <f t="shared" si="5"/>
        <v>2299607.5</v>
      </c>
      <c r="S19" s="3">
        <f t="shared" si="6"/>
        <v>71796</v>
      </c>
      <c r="T19" s="3">
        <f t="shared" si="7"/>
        <v>1089345</v>
      </c>
      <c r="U19" s="60">
        <f t="shared" si="0"/>
        <v>47.370910035734362</v>
      </c>
      <c r="V19" s="351">
        <v>3.95</v>
      </c>
      <c r="W19" s="342">
        <v>1</v>
      </c>
      <c r="X19" s="344">
        <v>0</v>
      </c>
      <c r="Y19" s="342">
        <v>0</v>
      </c>
    </row>
    <row r="20" spans="1:25" x14ac:dyDescent="0.25">
      <c r="A20" s="77">
        <v>4</v>
      </c>
      <c r="B20" s="77">
        <v>4</v>
      </c>
      <c r="C20" s="78">
        <v>44013</v>
      </c>
      <c r="D20" s="83">
        <v>44104</v>
      </c>
      <c r="E20" s="87">
        <v>9782.608695652174</v>
      </c>
      <c r="F20" s="2">
        <f t="shared" si="1"/>
        <v>156521.73913043475</v>
      </c>
      <c r="G20" s="2">
        <v>0</v>
      </c>
      <c r="H20" s="45">
        <f t="shared" si="2"/>
        <v>225000</v>
      </c>
      <c r="I20" s="59">
        <v>153955.17391304349</v>
      </c>
      <c r="J20" s="3">
        <f t="shared" si="8"/>
        <v>2463282.7826086958</v>
      </c>
      <c r="K20" s="3">
        <v>55165</v>
      </c>
      <c r="L20" s="45">
        <f t="shared" si="3"/>
        <v>878430</v>
      </c>
      <c r="M20" s="87">
        <v>2940.521739130435</v>
      </c>
      <c r="N20" s="3">
        <f t="shared" si="9"/>
        <v>47048.347826086952</v>
      </c>
      <c r="O20" s="3">
        <v>5737</v>
      </c>
      <c r="P20" s="53">
        <f t="shared" si="4"/>
        <v>46817</v>
      </c>
      <c r="Q20" s="59">
        <v>153307.16666666666</v>
      </c>
      <c r="R20" s="3">
        <f t="shared" si="5"/>
        <v>2452914.6666666665</v>
      </c>
      <c r="S20" s="3">
        <f t="shared" si="6"/>
        <v>60902</v>
      </c>
      <c r="T20" s="3">
        <f t="shared" si="7"/>
        <v>1150247</v>
      </c>
      <c r="U20" s="60">
        <f t="shared" si="0"/>
        <v>46.893070339177449</v>
      </c>
      <c r="V20" s="351">
        <v>3.95</v>
      </c>
      <c r="W20" s="342">
        <v>1</v>
      </c>
      <c r="X20" s="344">
        <v>0</v>
      </c>
      <c r="Y20" s="342">
        <v>0</v>
      </c>
    </row>
    <row r="21" spans="1:25" x14ac:dyDescent="0.25">
      <c r="A21" s="77">
        <v>5</v>
      </c>
      <c r="B21" s="77">
        <v>1</v>
      </c>
      <c r="C21" s="78">
        <v>44105</v>
      </c>
      <c r="D21" s="83">
        <v>44196</v>
      </c>
      <c r="E21" s="87">
        <v>9782.608695652174</v>
      </c>
      <c r="F21" s="2">
        <f t="shared" si="1"/>
        <v>166304.34782608692</v>
      </c>
      <c r="G21" s="2">
        <v>0</v>
      </c>
      <c r="H21" s="45">
        <f t="shared" si="2"/>
        <v>225000</v>
      </c>
      <c r="I21" s="59">
        <v>153955.17391304349</v>
      </c>
      <c r="J21" s="3">
        <f t="shared" si="8"/>
        <v>2617237.9565217393</v>
      </c>
      <c r="K21" s="3">
        <v>110691</v>
      </c>
      <c r="L21" s="45">
        <f t="shared" si="3"/>
        <v>989121</v>
      </c>
      <c r="M21" s="87">
        <v>2940.521739130435</v>
      </c>
      <c r="N21" s="3">
        <f t="shared" si="9"/>
        <v>49988.869565217385</v>
      </c>
      <c r="O21" s="3">
        <v>3513</v>
      </c>
      <c r="P21" s="53">
        <f t="shared" si="4"/>
        <v>50330</v>
      </c>
      <c r="Q21" s="59">
        <v>153307.16666666666</v>
      </c>
      <c r="R21" s="3">
        <f t="shared" si="5"/>
        <v>2606221.833333333</v>
      </c>
      <c r="S21" s="3">
        <f t="shared" si="6"/>
        <v>114204</v>
      </c>
      <c r="T21" s="3">
        <f t="shared" si="7"/>
        <v>1264451</v>
      </c>
      <c r="U21" s="60">
        <f t="shared" si="0"/>
        <v>48.516629851986899</v>
      </c>
      <c r="V21" s="351">
        <v>3.95</v>
      </c>
      <c r="W21" s="342">
        <v>4</v>
      </c>
      <c r="X21" s="344">
        <v>0</v>
      </c>
      <c r="Y21" s="342">
        <v>0</v>
      </c>
    </row>
    <row r="22" spans="1:25" x14ac:dyDescent="0.25">
      <c r="A22" s="77">
        <v>5</v>
      </c>
      <c r="B22" s="77">
        <v>2</v>
      </c>
      <c r="C22" s="78">
        <v>44197</v>
      </c>
      <c r="D22" s="83">
        <v>44286</v>
      </c>
      <c r="E22" s="87">
        <v>9782.608695652174</v>
      </c>
      <c r="F22" s="2">
        <f t="shared" si="1"/>
        <v>176086.95652173908</v>
      </c>
      <c r="G22" s="2">
        <v>0</v>
      </c>
      <c r="H22" s="45">
        <f t="shared" si="2"/>
        <v>225000</v>
      </c>
      <c r="I22" s="59">
        <v>153955.17391304349</v>
      </c>
      <c r="J22" s="3">
        <f t="shared" si="8"/>
        <v>2771193.1304347827</v>
      </c>
      <c r="K22" s="3">
        <v>306088</v>
      </c>
      <c r="L22" s="45">
        <f t="shared" si="3"/>
        <v>1295209</v>
      </c>
      <c r="M22" s="87">
        <v>2940.521739130435</v>
      </c>
      <c r="N22" s="3">
        <f t="shared" si="9"/>
        <v>52929.391304347817</v>
      </c>
      <c r="O22" s="3">
        <v>7697</v>
      </c>
      <c r="P22" s="53">
        <f t="shared" si="4"/>
        <v>58027</v>
      </c>
      <c r="Q22" s="59">
        <v>153307.16666666666</v>
      </c>
      <c r="R22" s="3">
        <f t="shared" si="5"/>
        <v>2759528.9999999995</v>
      </c>
      <c r="S22" s="3">
        <f t="shared" si="6"/>
        <v>313785</v>
      </c>
      <c r="T22" s="3">
        <f t="shared" si="7"/>
        <v>1578236</v>
      </c>
      <c r="U22" s="60">
        <f t="shared" si="0"/>
        <v>57.192223745429025</v>
      </c>
      <c r="V22" s="351">
        <v>3.95</v>
      </c>
      <c r="W22" s="342">
        <v>0</v>
      </c>
      <c r="X22" s="344">
        <v>0</v>
      </c>
      <c r="Y22" s="342">
        <v>0</v>
      </c>
    </row>
    <row r="23" spans="1:25" x14ac:dyDescent="0.25">
      <c r="A23" s="77">
        <v>5</v>
      </c>
      <c r="B23" s="77">
        <v>3</v>
      </c>
      <c r="C23" s="78">
        <v>44287</v>
      </c>
      <c r="D23" s="83">
        <v>44377</v>
      </c>
      <c r="E23" s="87">
        <v>9782.608695652174</v>
      </c>
      <c r="F23" s="2">
        <f t="shared" si="1"/>
        <v>185869.56521739124</v>
      </c>
      <c r="G23" s="2">
        <v>0</v>
      </c>
      <c r="H23" s="45">
        <f t="shared" si="2"/>
        <v>225000</v>
      </c>
      <c r="I23" s="59">
        <v>153955.17391304349</v>
      </c>
      <c r="J23" s="3">
        <f t="shared" si="8"/>
        <v>2925148.3043478262</v>
      </c>
      <c r="K23" s="3">
        <v>0</v>
      </c>
      <c r="L23" s="45">
        <f t="shared" si="3"/>
        <v>1295209</v>
      </c>
      <c r="M23" s="87">
        <v>2940.521739130435</v>
      </c>
      <c r="N23" s="3">
        <f t="shared" si="9"/>
        <v>55869.913043478249</v>
      </c>
      <c r="O23" s="3">
        <v>0</v>
      </c>
      <c r="P23" s="53">
        <f t="shared" si="4"/>
        <v>58027</v>
      </c>
      <c r="Q23" s="59">
        <v>153307.16666666666</v>
      </c>
      <c r="R23" s="3">
        <f t="shared" si="5"/>
        <v>2912836.166666666</v>
      </c>
      <c r="S23" s="3">
        <f t="shared" si="6"/>
        <v>0</v>
      </c>
      <c r="T23" s="3">
        <f t="shared" si="7"/>
        <v>1578236</v>
      </c>
      <c r="U23" s="60">
        <f t="shared" si="0"/>
        <v>54.182106706195924</v>
      </c>
      <c r="V23" s="351">
        <v>3.95</v>
      </c>
      <c r="W23" s="342">
        <v>3</v>
      </c>
      <c r="X23" s="344">
        <v>0</v>
      </c>
      <c r="Y23" s="342">
        <v>0</v>
      </c>
    </row>
    <row r="24" spans="1:25" x14ac:dyDescent="0.25">
      <c r="A24" s="77">
        <v>5</v>
      </c>
      <c r="B24" s="77">
        <v>4</v>
      </c>
      <c r="C24" s="78">
        <v>44378</v>
      </c>
      <c r="D24" s="83">
        <v>44469</v>
      </c>
      <c r="E24" s="87">
        <v>9782.608695652174</v>
      </c>
      <c r="F24" s="2">
        <f t="shared" si="1"/>
        <v>195652.1739130434</v>
      </c>
      <c r="G24" s="2">
        <v>0</v>
      </c>
      <c r="H24" s="45">
        <f t="shared" si="2"/>
        <v>225000</v>
      </c>
      <c r="I24" s="59">
        <v>153955.17391304349</v>
      </c>
      <c r="J24" s="3">
        <f t="shared" si="8"/>
        <v>3079103.4782608696</v>
      </c>
      <c r="K24" s="3">
        <v>642135</v>
      </c>
      <c r="L24" s="45">
        <f t="shared" si="3"/>
        <v>1937344</v>
      </c>
      <c r="M24" s="87">
        <v>2940.521739130435</v>
      </c>
      <c r="N24" s="3">
        <f t="shared" si="9"/>
        <v>58810.434782608681</v>
      </c>
      <c r="O24" s="3">
        <v>6467</v>
      </c>
      <c r="P24" s="53">
        <f t="shared" si="4"/>
        <v>64494</v>
      </c>
      <c r="Q24" s="59">
        <v>153307.16666666666</v>
      </c>
      <c r="R24" s="3">
        <f t="shared" si="5"/>
        <v>3066143.3333333326</v>
      </c>
      <c r="S24" s="3">
        <f t="shared" si="6"/>
        <v>648602</v>
      </c>
      <c r="T24" s="3">
        <f t="shared" si="7"/>
        <v>2226838</v>
      </c>
      <c r="U24" s="60">
        <f t="shared" si="0"/>
        <v>72.626676508925996</v>
      </c>
      <c r="V24" s="351">
        <v>3.95</v>
      </c>
      <c r="W24" s="342">
        <v>9</v>
      </c>
      <c r="X24" s="344">
        <v>0</v>
      </c>
      <c r="Y24" s="342">
        <v>0</v>
      </c>
    </row>
    <row r="25" spans="1:25" x14ac:dyDescent="0.25">
      <c r="A25" s="77">
        <v>6</v>
      </c>
      <c r="B25" s="77">
        <v>1</v>
      </c>
      <c r="C25" s="78">
        <v>44470</v>
      </c>
      <c r="D25" s="83">
        <v>44561</v>
      </c>
      <c r="E25" s="87">
        <v>9782.608695652174</v>
      </c>
      <c r="F25" s="2">
        <f t="shared" ref="F25" si="10">SUM(F24+E25)</f>
        <v>205434.78260869556</v>
      </c>
      <c r="G25" s="2">
        <v>0</v>
      </c>
      <c r="H25" s="45">
        <f t="shared" ref="H25" si="11">SUM(H24+G25)</f>
        <v>225000</v>
      </c>
      <c r="I25" s="59">
        <v>153955.17391304349</v>
      </c>
      <c r="J25" s="3">
        <f t="shared" si="8"/>
        <v>3233058.6521739131</v>
      </c>
      <c r="K25" s="76">
        <v>0</v>
      </c>
      <c r="L25" s="45">
        <f t="shared" si="3"/>
        <v>1937344</v>
      </c>
      <c r="M25" s="87">
        <v>2940.521739130435</v>
      </c>
      <c r="N25" s="3">
        <f t="shared" si="9"/>
        <v>61750.956521739114</v>
      </c>
      <c r="O25" s="76">
        <v>0</v>
      </c>
      <c r="P25" s="53">
        <f t="shared" si="4"/>
        <v>64494</v>
      </c>
      <c r="Q25" s="59">
        <v>153307.16666666666</v>
      </c>
      <c r="R25" s="3">
        <f t="shared" si="5"/>
        <v>3219450.4999999991</v>
      </c>
      <c r="S25" s="3">
        <f t="shared" si="6"/>
        <v>0</v>
      </c>
      <c r="T25" s="3">
        <f t="shared" si="7"/>
        <v>2226838</v>
      </c>
      <c r="U25" s="60">
        <f t="shared" si="0"/>
        <v>69.16826334183429</v>
      </c>
      <c r="V25" s="351">
        <v>3.95</v>
      </c>
      <c r="W25" s="342">
        <v>6</v>
      </c>
      <c r="X25" s="344">
        <v>0</v>
      </c>
      <c r="Y25" s="342">
        <v>0</v>
      </c>
    </row>
    <row r="26" spans="1:25" x14ac:dyDescent="0.25">
      <c r="A26" s="77">
        <v>6</v>
      </c>
      <c r="B26" s="77">
        <v>2</v>
      </c>
      <c r="C26" s="78">
        <v>44562</v>
      </c>
      <c r="D26" s="83">
        <v>44651</v>
      </c>
      <c r="E26" s="87">
        <v>9782.608695652174</v>
      </c>
      <c r="F26" s="2">
        <f t="shared" ref="F26:F28" si="12">SUM(F25+E26)</f>
        <v>215217.39130434772</v>
      </c>
      <c r="G26" s="2">
        <v>0</v>
      </c>
      <c r="H26" s="45">
        <f t="shared" ref="H26:H27" si="13">SUM(H25+G26)</f>
        <v>225000</v>
      </c>
      <c r="I26" s="59">
        <v>153955.17391304349</v>
      </c>
      <c r="J26" s="3">
        <f t="shared" ref="J26:J27" si="14">SUM(J25+I26)</f>
        <v>3387013.8260869565</v>
      </c>
      <c r="K26" s="76">
        <v>963455</v>
      </c>
      <c r="L26" s="45">
        <f t="shared" si="3"/>
        <v>2900799</v>
      </c>
      <c r="M26" s="87">
        <v>2940.521739130435</v>
      </c>
      <c r="N26" s="3">
        <f t="shared" ref="N26:N28" si="15">SUM(N25+M26)</f>
        <v>64691.478260869546</v>
      </c>
      <c r="O26" s="76">
        <v>3138</v>
      </c>
      <c r="P26" s="53">
        <f t="shared" ref="P26:P29" si="16">SUM(P25+O26)</f>
        <v>67632</v>
      </c>
      <c r="Q26" s="59">
        <v>153307.16666666666</v>
      </c>
      <c r="R26" s="3">
        <f t="shared" ref="R26:R29" si="17">SUM(R25+Q26)</f>
        <v>3372757.6666666656</v>
      </c>
      <c r="S26" s="3">
        <f t="shared" si="6"/>
        <v>966593</v>
      </c>
      <c r="T26" s="3">
        <f t="shared" si="7"/>
        <v>3193431</v>
      </c>
      <c r="U26" s="60">
        <f t="shared" si="0"/>
        <v>94.683084751716066</v>
      </c>
      <c r="V26" s="351">
        <v>3.95</v>
      </c>
      <c r="W26" s="342">
        <v>0</v>
      </c>
      <c r="X26" s="344">
        <v>0</v>
      </c>
      <c r="Y26" s="342">
        <v>0</v>
      </c>
    </row>
    <row r="27" spans="1:25" x14ac:dyDescent="0.25">
      <c r="A27" s="77">
        <v>6</v>
      </c>
      <c r="B27" s="77">
        <v>3</v>
      </c>
      <c r="C27" s="78">
        <v>44652</v>
      </c>
      <c r="D27" s="83">
        <v>44742</v>
      </c>
      <c r="E27" s="87">
        <v>9782.608695652174</v>
      </c>
      <c r="F27" s="2">
        <f t="shared" si="12"/>
        <v>224999.99999999988</v>
      </c>
      <c r="G27" s="2">
        <v>0</v>
      </c>
      <c r="H27" s="45">
        <f t="shared" si="13"/>
        <v>225000</v>
      </c>
      <c r="I27" s="59">
        <v>153955.17391304349</v>
      </c>
      <c r="J27" s="3">
        <f t="shared" si="14"/>
        <v>3540969</v>
      </c>
      <c r="K27" s="76">
        <v>0</v>
      </c>
      <c r="L27" s="45">
        <f t="shared" si="3"/>
        <v>2900799</v>
      </c>
      <c r="M27" s="87">
        <v>2940.521739130435</v>
      </c>
      <c r="N27" s="3">
        <f t="shared" si="15"/>
        <v>67631.999999999985</v>
      </c>
      <c r="O27" s="76">
        <v>0</v>
      </c>
      <c r="P27" s="53">
        <f t="shared" si="16"/>
        <v>67632</v>
      </c>
      <c r="Q27" s="59">
        <v>153307.16666666666</v>
      </c>
      <c r="R27" s="3">
        <f t="shared" si="17"/>
        <v>3526064.8333333321</v>
      </c>
      <c r="S27" s="3">
        <f t="shared" si="6"/>
        <v>0</v>
      </c>
      <c r="T27" s="3">
        <f t="shared" si="7"/>
        <v>3193431</v>
      </c>
      <c r="U27" s="60">
        <f t="shared" si="0"/>
        <v>90.566428892945794</v>
      </c>
      <c r="V27" s="351">
        <v>3.95</v>
      </c>
      <c r="W27" s="342">
        <v>4</v>
      </c>
      <c r="X27" s="344">
        <v>0</v>
      </c>
      <c r="Y27" s="342">
        <v>0</v>
      </c>
    </row>
    <row r="28" spans="1:25" x14ac:dyDescent="0.25">
      <c r="A28" s="77">
        <v>6</v>
      </c>
      <c r="B28" s="77">
        <v>4</v>
      </c>
      <c r="C28" s="78">
        <v>44743</v>
      </c>
      <c r="D28" s="83">
        <v>44834</v>
      </c>
      <c r="E28" s="87"/>
      <c r="F28" s="2">
        <f t="shared" si="12"/>
        <v>224999.99999999988</v>
      </c>
      <c r="G28" s="2">
        <v>0</v>
      </c>
      <c r="H28" s="45">
        <f>SUM(H27+G28)</f>
        <v>225000</v>
      </c>
      <c r="I28" s="59"/>
      <c r="J28" s="2">
        <f>SUM(J27+I28)</f>
        <v>3540969</v>
      </c>
      <c r="K28" s="3">
        <v>0</v>
      </c>
      <c r="L28" s="45">
        <f>SUM(L27+K28)</f>
        <v>2900799</v>
      </c>
      <c r="M28" s="87">
        <v>2818</v>
      </c>
      <c r="N28" s="3">
        <f t="shared" si="15"/>
        <v>70449.999999999985</v>
      </c>
      <c r="O28" s="3">
        <v>0</v>
      </c>
      <c r="P28" s="53">
        <f t="shared" si="16"/>
        <v>67632</v>
      </c>
      <c r="Q28" s="59">
        <v>153307.16666666666</v>
      </c>
      <c r="R28" s="3">
        <f t="shared" si="17"/>
        <v>3679371.9999999986</v>
      </c>
      <c r="S28" s="3">
        <f t="shared" si="6"/>
        <v>0</v>
      </c>
      <c r="T28" s="3">
        <f>SUM(T27+S28)</f>
        <v>3193431</v>
      </c>
      <c r="U28" s="60">
        <f t="shared" si="0"/>
        <v>86.792827689073064</v>
      </c>
      <c r="V28" s="351"/>
      <c r="W28" s="342"/>
      <c r="X28" s="344"/>
      <c r="Y28" s="342"/>
    </row>
    <row r="29" spans="1:25" x14ac:dyDescent="0.25">
      <c r="A29" s="77">
        <v>7</v>
      </c>
      <c r="B29" s="77">
        <v>1</v>
      </c>
      <c r="C29" s="78">
        <v>44835</v>
      </c>
      <c r="D29" s="83">
        <v>44926</v>
      </c>
      <c r="E29" s="263"/>
      <c r="F29" s="5"/>
      <c r="G29" s="5"/>
      <c r="H29" s="46"/>
      <c r="I29" s="262"/>
      <c r="J29" s="5"/>
      <c r="K29" s="6">
        <v>476634</v>
      </c>
      <c r="L29" s="45">
        <f>SUM(L28+K29)</f>
        <v>3377433</v>
      </c>
      <c r="M29" s="263"/>
      <c r="N29" s="6"/>
      <c r="O29" s="6">
        <v>9307</v>
      </c>
      <c r="P29" s="53">
        <f t="shared" si="16"/>
        <v>76939</v>
      </c>
      <c r="Q29" s="262"/>
      <c r="R29" s="3">
        <f t="shared" si="17"/>
        <v>3679371.9999999986</v>
      </c>
      <c r="S29" s="6"/>
      <c r="T29" s="3">
        <f>SUM(T28+S29)</f>
        <v>3193431</v>
      </c>
      <c r="U29" s="60">
        <f>SUM(T29/R29)*100</f>
        <v>86.792827689073064</v>
      </c>
      <c r="V29" s="345"/>
      <c r="W29" s="345"/>
      <c r="X29" s="345"/>
      <c r="Y29" s="342"/>
    </row>
    <row r="30" spans="1:25" x14ac:dyDescent="0.25">
      <c r="A30" s="77">
        <v>7</v>
      </c>
      <c r="B30" s="77">
        <v>2</v>
      </c>
      <c r="C30" s="78">
        <v>44927</v>
      </c>
      <c r="D30" s="83">
        <v>45016</v>
      </c>
      <c r="E30" s="263"/>
      <c r="F30" s="5"/>
      <c r="G30" s="5"/>
      <c r="H30" s="46"/>
      <c r="I30" s="262"/>
      <c r="J30" s="5"/>
      <c r="K30" s="6"/>
      <c r="L30" s="46"/>
      <c r="M30" s="263"/>
      <c r="N30" s="6"/>
      <c r="O30" s="6"/>
      <c r="P30" s="54"/>
      <c r="Q30" s="262"/>
      <c r="R30" s="6"/>
      <c r="S30" s="6"/>
      <c r="T30" s="6"/>
      <c r="U30" s="61"/>
      <c r="V30" s="345"/>
      <c r="W30" s="345"/>
      <c r="X30" s="345"/>
      <c r="Y30" s="345"/>
    </row>
    <row r="31" spans="1:25" ht="15.75" thickBot="1" x14ac:dyDescent="0.3">
      <c r="A31" s="219"/>
      <c r="B31" s="219"/>
      <c r="C31" s="220"/>
      <c r="D31" s="306"/>
      <c r="E31" s="97">
        <f>SUM(E5:E28)</f>
        <v>224999.99999999988</v>
      </c>
      <c r="F31" s="98" t="s">
        <v>71</v>
      </c>
      <c r="G31" s="98" t="s">
        <v>19</v>
      </c>
      <c r="H31" s="99">
        <f>SUM(E31-H27)</f>
        <v>-1.1641532182693481E-10</v>
      </c>
      <c r="I31" s="111">
        <v>3377433</v>
      </c>
      <c r="J31" s="98" t="s">
        <v>71</v>
      </c>
      <c r="K31" s="98" t="s">
        <v>19</v>
      </c>
      <c r="L31" s="99">
        <f>I31-L29</f>
        <v>0</v>
      </c>
      <c r="M31" s="111">
        <v>76939</v>
      </c>
      <c r="N31" s="98" t="s">
        <v>71</v>
      </c>
      <c r="O31" s="98" t="s">
        <v>19</v>
      </c>
      <c r="P31" s="99">
        <f>M31-P29</f>
        <v>0</v>
      </c>
      <c r="Q31" s="111">
        <v>3679372</v>
      </c>
      <c r="R31" s="98" t="s">
        <v>71</v>
      </c>
      <c r="S31" s="98" t="s">
        <v>19</v>
      </c>
      <c r="T31" s="108">
        <f>SUM(Q31-T29)</f>
        <v>485941</v>
      </c>
      <c r="U31" s="109"/>
      <c r="V31" s="345">
        <f>SUM(V5:V30)</f>
        <v>79.000000000000028</v>
      </c>
      <c r="W31" s="345">
        <f t="shared" ref="W31:Y31" si="18">SUM(W5:W30)</f>
        <v>28</v>
      </c>
      <c r="X31" s="345">
        <f t="shared" si="18"/>
        <v>1</v>
      </c>
      <c r="Y31" s="345">
        <f t="shared" si="18"/>
        <v>1</v>
      </c>
    </row>
    <row r="32" spans="1:25" ht="15.75" thickTop="1" x14ac:dyDescent="0.25">
      <c r="A32" s="19"/>
      <c r="B32" s="19"/>
      <c r="C32" s="8"/>
      <c r="D32" s="8"/>
      <c r="E32" s="89"/>
      <c r="F32" s="8"/>
      <c r="G32" s="8"/>
      <c r="H32" s="8"/>
      <c r="I32" s="36"/>
      <c r="J32" s="8"/>
      <c r="K32" s="8"/>
      <c r="L32" s="8"/>
      <c r="M32" s="36"/>
      <c r="N32" s="8"/>
      <c r="O32" s="8"/>
      <c r="P32" s="8"/>
      <c r="Q32" s="12"/>
      <c r="U32" s="10"/>
    </row>
    <row r="33" spans="3:18" x14ac:dyDescent="0.25">
      <c r="C33" s="18" t="s">
        <v>159</v>
      </c>
      <c r="D33" s="377">
        <v>44742</v>
      </c>
      <c r="Q33" s="110"/>
      <c r="R33" s="75"/>
    </row>
  </sheetData>
  <mergeCells count="6">
    <mergeCell ref="A1:U1"/>
    <mergeCell ref="A2:D2"/>
    <mergeCell ref="E2:H2"/>
    <mergeCell ref="I2:L2"/>
    <mergeCell ref="M2:P2"/>
    <mergeCell ref="Q2:T2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FF9A500805094E93638FF8ADDC167A" ma:contentTypeVersion="16" ma:contentTypeDescription="Create a new document." ma:contentTypeScope="" ma:versionID="e4ce11085715ddf67eaa59ef03805f9f">
  <xsd:schema xmlns:xsd="http://www.w3.org/2001/XMLSchema" xmlns:xs="http://www.w3.org/2001/XMLSchema" xmlns:p="http://schemas.microsoft.com/office/2006/metadata/properties" xmlns:ns2="5483e490-0af1-4a6b-be95-53a173d9a4b5" xmlns:ns3="e5a521f0-a6f6-4edd-9f17-67aab279c36f" targetNamespace="http://schemas.microsoft.com/office/2006/metadata/properties" ma:root="true" ma:fieldsID="3fbdd260c10315eea2e0ec2092343a11" ns2:_="" ns3:_="">
    <xsd:import namespace="5483e490-0af1-4a6b-be95-53a173d9a4b5"/>
    <xsd:import namespace="e5a521f0-a6f6-4edd-9f17-67aab279c3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83e490-0af1-4a6b-be95-53a173d9a4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73c2f1c-0c45-49b9-b292-96ca38f502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a521f0-a6f6-4edd-9f17-67aab279c3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18fcdf4-516c-4f06-a150-c281679c830b}" ma:internalName="TaxCatchAll" ma:showField="CatchAllData" ma:web="e5a521f0-a6f6-4edd-9f17-67aab279c3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5a521f0-a6f6-4edd-9f17-67aab279c36f" xsi:nil="true"/>
    <lcf76f155ced4ddcb4097134ff3c332f xmlns="5483e490-0af1-4a6b-be95-53a173d9a4b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043F006-EBBF-4864-967A-91D9C84383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83e490-0af1-4a6b-be95-53a173d9a4b5"/>
    <ds:schemaRef ds:uri="e5a521f0-a6f6-4edd-9f17-67aab279c3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3AB8C2-B92F-4DB9-A70B-F27DBE0B233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6002747-F395-42A9-996C-147E0CFC995E}">
  <ds:schemaRefs>
    <ds:schemaRef ds:uri="5483e490-0af1-4a6b-be95-53a173d9a4b5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elements/1.1/"/>
    <ds:schemaRef ds:uri="e5a521f0-a6f6-4edd-9f17-67aab279c36f"/>
    <ds:schemaRef ds:uri="http://schemas.openxmlformats.org/package/2006/metadata/core-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Performance Proj</vt:lpstr>
      <vt:lpstr>Financial Proj</vt:lpstr>
      <vt:lpstr>Quarterly Projections</vt:lpstr>
      <vt:lpstr>Actual Totals</vt:lpstr>
      <vt:lpstr>Dubuque Housing</vt:lpstr>
      <vt:lpstr>Benton</vt:lpstr>
      <vt:lpstr>Buena Vista</vt:lpstr>
      <vt:lpstr>Fremont</vt:lpstr>
      <vt:lpstr>Howard</vt:lpstr>
      <vt:lpstr>Iowa</vt:lpstr>
      <vt:lpstr>Johnson</vt:lpstr>
      <vt:lpstr>Mills</vt:lpstr>
      <vt:lpstr>Winneshiek</vt:lpstr>
      <vt:lpstr>Coralville Infra</vt:lpstr>
      <vt:lpstr>Dubuque Infra</vt:lpstr>
      <vt:lpstr>Storm Lake</vt:lpstr>
      <vt:lpstr>HSEMD</vt:lpstr>
      <vt:lpstr>Univ of Iowa</vt:lpstr>
      <vt:lpstr>Iowa DNR</vt:lpstr>
      <vt:lpstr>Univ of N Iowa</vt:lpstr>
      <vt:lpstr>Iowa State Univ</vt:lpstr>
      <vt:lpstr>IDALS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Makaria Kirianov</dc:creator>
  <cp:keywords/>
  <dc:description/>
  <cp:lastModifiedBy>Steven Stransky</cp:lastModifiedBy>
  <cp:revision/>
  <dcterms:created xsi:type="dcterms:W3CDTF">2021-09-01T20:18:04Z</dcterms:created>
  <dcterms:modified xsi:type="dcterms:W3CDTF">2023-04-11T19:16:18Z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0x010100EBFF9A500805094E93638FF8ADDC167A</vt:lpwstr>
  </property>
  <property fmtid="{D5CDD505-2E9C-101B-9397-08002B2CF9AE}" pid="3" name="MediaServiceImageTags">
    <vt:lpwstr/>
  </property>
</Properties>
</file>